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335" tabRatio="890" firstSheet="4"/>
  </bookViews>
  <sheets>
    <sheet name="0. Útmutató" sheetId="12" r:id="rId1"/>
    <sheet name="1. Paraméterek - Eredmények" sheetId="1" r:id="rId2"/>
    <sheet name="2. Előzetes vs. elítéltek" sheetId="17" r:id="rId3"/>
    <sheet name="A. Építés" sheetId="2" r:id="rId4"/>
    <sheet name="B. Intézetek karbantartása" sheetId="8" r:id="rId5"/>
    <sheet name="C. Üzemeltetés (rezsi)" sheetId="13" r:id="rId6"/>
    <sheet name="D. Személyzet" sheetId="15" r:id="rId7"/>
    <sheet name="E. Dologi költség" sheetId="16" r:id="rId8"/>
    <sheet name="F. Élelmezés" sheetId="5" r:id="rId9"/>
    <sheet name="G. Eü. kiadások" sheetId="11" r:id="rId10"/>
    <sheet name="H. Foglalkoztatás" sheetId="6" r:id="rId11"/>
    <sheet name="I. Perköltség" sheetId="7" r:id="rId12"/>
  </sheets>
  <definedNames>
    <definedName name="Fogvatartottak_számának_növekedése">'1. Paraméterek - Eredmények'!$C$33</definedName>
  </definedNames>
  <calcPr calcId="152511"/>
</workbook>
</file>

<file path=xl/calcChain.xml><?xml version="1.0" encoding="utf-8"?>
<calcChain xmlns="http://schemas.openxmlformats.org/spreadsheetml/2006/main">
  <c r="C37" i="7" l="1"/>
  <c r="C38" i="7" s="1"/>
  <c r="C39" i="7" s="1"/>
  <c r="C30" i="7" l="1"/>
  <c r="C29" i="7"/>
  <c r="H43" i="16"/>
  <c r="C65" i="5" l="1"/>
  <c r="C66" i="5"/>
  <c r="C64" i="5"/>
  <c r="E27" i="16"/>
  <c r="C5" i="1" l="1"/>
  <c r="D41" i="15" l="1"/>
  <c r="E41" i="15"/>
  <c r="F41" i="15"/>
  <c r="B41" i="15"/>
  <c r="H37" i="15"/>
  <c r="G37" i="15"/>
  <c r="E37" i="15"/>
  <c r="D37" i="15"/>
  <c r="D24" i="15"/>
  <c r="E24" i="15"/>
  <c r="F37" i="15" s="1"/>
  <c r="C24" i="15"/>
  <c r="J37" i="15" l="1"/>
  <c r="I37" i="15"/>
  <c r="C96" i="6"/>
  <c r="C88" i="6"/>
  <c r="C80" i="6"/>
  <c r="C4" i="5"/>
  <c r="E31" i="6" l="1"/>
  <c r="C79" i="6" l="1"/>
  <c r="C77" i="6"/>
  <c r="B78" i="6"/>
  <c r="B77" i="6"/>
  <c r="B73" i="6"/>
  <c r="B72" i="6"/>
  <c r="C31" i="16"/>
  <c r="D31" i="16"/>
  <c r="E31" i="16"/>
  <c r="B31" i="16"/>
  <c r="C34" i="6" l="1"/>
  <c r="F76" i="6" s="1"/>
  <c r="D34" i="6"/>
  <c r="I76" i="6" s="1"/>
  <c r="E34" i="6"/>
  <c r="J76" i="6" s="1"/>
  <c r="B34" i="6"/>
  <c r="B76" i="6" s="1"/>
  <c r="B25" i="6"/>
  <c r="C25" i="6"/>
  <c r="B26" i="6"/>
  <c r="C26" i="6"/>
  <c r="B27" i="6"/>
  <c r="C27" i="6"/>
  <c r="D27" i="6"/>
  <c r="C24" i="6"/>
  <c r="B24" i="6"/>
  <c r="C98" i="6" l="1"/>
  <c r="C99" i="6" s="1"/>
  <c r="C100" i="6" s="1"/>
  <c r="C101" i="6" s="1"/>
  <c r="C90" i="6"/>
  <c r="C91" i="6" s="1"/>
  <c r="C92" i="6" s="1"/>
  <c r="C82" i="6"/>
  <c r="H76" i="6"/>
  <c r="D76" i="6"/>
  <c r="G76" i="6"/>
  <c r="E76" i="6"/>
  <c r="C93" i="6" l="1"/>
  <c r="C11" i="17"/>
  <c r="D4" i="11"/>
  <c r="E4" i="11"/>
  <c r="F4" i="11"/>
  <c r="G4" i="11"/>
  <c r="H4" i="11"/>
  <c r="I4" i="11"/>
  <c r="J4" i="11"/>
  <c r="I71" i="16" l="1"/>
  <c r="H71" i="16"/>
  <c r="E79" i="15" l="1"/>
  <c r="E80" i="15"/>
  <c r="J101" i="15" s="1"/>
  <c r="E81" i="15"/>
  <c r="E82" i="15"/>
  <c r="J103" i="15" s="1"/>
  <c r="E78" i="15"/>
  <c r="J99" i="15" s="1"/>
  <c r="J100" i="15"/>
  <c r="J102" i="15"/>
  <c r="G100" i="15"/>
  <c r="H100" i="15"/>
  <c r="I100" i="15"/>
  <c r="G101" i="15"/>
  <c r="H101" i="15"/>
  <c r="I101" i="15"/>
  <c r="G102" i="15"/>
  <c r="H102" i="15"/>
  <c r="I102" i="15"/>
  <c r="G103" i="15"/>
  <c r="H103" i="15"/>
  <c r="H99" i="15"/>
  <c r="G99" i="15"/>
  <c r="D100" i="15"/>
  <c r="E100" i="15"/>
  <c r="F100" i="15"/>
  <c r="D101" i="15"/>
  <c r="E101" i="15"/>
  <c r="F101" i="15"/>
  <c r="D102" i="15"/>
  <c r="E102" i="15"/>
  <c r="F102" i="15"/>
  <c r="D103" i="15"/>
  <c r="E103" i="15"/>
  <c r="E99" i="15"/>
  <c r="D99" i="15"/>
  <c r="F103" i="15" l="1"/>
  <c r="I103" i="15"/>
  <c r="I99" i="15"/>
  <c r="F99" i="15"/>
  <c r="H97" i="15" l="1"/>
  <c r="I97" i="15"/>
  <c r="G97" i="15"/>
  <c r="E93" i="15"/>
  <c r="F93" i="15"/>
  <c r="E94" i="15"/>
  <c r="F94" i="15"/>
  <c r="E95" i="15"/>
  <c r="F95" i="15"/>
  <c r="E96" i="15"/>
  <c r="F96" i="15"/>
  <c r="E97" i="15"/>
  <c r="F97" i="15"/>
  <c r="D94" i="15"/>
  <c r="D95" i="15"/>
  <c r="D96" i="15"/>
  <c r="D97" i="15"/>
  <c r="D93" i="15"/>
  <c r="J56" i="8" l="1"/>
  <c r="H56" i="8"/>
  <c r="I56" i="8"/>
  <c r="G56" i="8"/>
  <c r="E56" i="8"/>
  <c r="F56" i="8"/>
  <c r="D56" i="8"/>
  <c r="C88" i="8"/>
  <c r="C89" i="8" s="1"/>
  <c r="C74" i="8"/>
  <c r="C75" i="8" s="1"/>
  <c r="E93" i="8"/>
  <c r="E92" i="8"/>
  <c r="C4" i="11" l="1"/>
  <c r="D61" i="1" l="1"/>
  <c r="J51" i="2" s="1"/>
  <c r="J63" i="5" l="1"/>
  <c r="J66" i="5" s="1"/>
  <c r="J6" i="5" s="1"/>
  <c r="I63" i="5"/>
  <c r="I65" i="5" s="1"/>
  <c r="I5" i="5" s="1"/>
  <c r="F63" i="5"/>
  <c r="F65" i="5" s="1"/>
  <c r="F5" i="5" s="1"/>
  <c r="C16" i="5"/>
  <c r="C28" i="17"/>
  <c r="C13" i="17"/>
  <c r="C5" i="7"/>
  <c r="C6" i="7"/>
  <c r="C4" i="7"/>
  <c r="C31" i="7"/>
  <c r="I66" i="5" l="1"/>
  <c r="I6" i="5" s="1"/>
  <c r="F10" i="17"/>
  <c r="F25" i="17"/>
  <c r="F11" i="1"/>
  <c r="I10" i="17"/>
  <c r="I11" i="1"/>
  <c r="I25" i="17"/>
  <c r="F66" i="5"/>
  <c r="F6" i="5" s="1"/>
  <c r="J65" i="5"/>
  <c r="J5" i="5" s="1"/>
  <c r="F64" i="5"/>
  <c r="F4" i="5" s="1"/>
  <c r="J64" i="5"/>
  <c r="J4" i="5" s="1"/>
  <c r="I64" i="5"/>
  <c r="I4" i="5" s="1"/>
  <c r="D30" i="7"/>
  <c r="D31" i="7" s="1"/>
  <c r="E23" i="7"/>
  <c r="J36" i="7" s="1"/>
  <c r="D23" i="7"/>
  <c r="C23" i="7"/>
  <c r="C16" i="7"/>
  <c r="C26" i="17"/>
  <c r="C31" i="6"/>
  <c r="D75" i="6" s="1"/>
  <c r="C78" i="6"/>
  <c r="C76" i="6" s="1"/>
  <c r="J75" i="6"/>
  <c r="I75" i="6"/>
  <c r="G75" i="6"/>
  <c r="F75" i="6"/>
  <c r="D31" i="6"/>
  <c r="E75" i="6" s="1"/>
  <c r="D44" i="1"/>
  <c r="D24" i="6" s="1"/>
  <c r="D46" i="1"/>
  <c r="D26" i="6" s="1"/>
  <c r="D45" i="1"/>
  <c r="D25" i="6" s="1"/>
  <c r="H59" i="6"/>
  <c r="F59" i="6"/>
  <c r="E59" i="6"/>
  <c r="D59" i="6"/>
  <c r="C59" i="6"/>
  <c r="N58" i="6"/>
  <c r="M58" i="6"/>
  <c r="L58" i="6"/>
  <c r="K58" i="6"/>
  <c r="N57" i="6"/>
  <c r="M57" i="6"/>
  <c r="L57" i="6"/>
  <c r="K57" i="6"/>
  <c r="N56" i="6"/>
  <c r="M56" i="6"/>
  <c r="L56" i="6"/>
  <c r="K56" i="6"/>
  <c r="N55" i="6"/>
  <c r="M55" i="6"/>
  <c r="L55" i="6"/>
  <c r="K55" i="6"/>
  <c r="H54" i="6"/>
  <c r="F54" i="6"/>
  <c r="N54" i="6" s="1"/>
  <c r="E54" i="6"/>
  <c r="M54" i="6" s="1"/>
  <c r="D54" i="6"/>
  <c r="C54" i="6"/>
  <c r="K54" i="6" s="1"/>
  <c r="N53" i="6"/>
  <c r="M53" i="6"/>
  <c r="L53" i="6"/>
  <c r="K53" i="6"/>
  <c r="N52" i="6"/>
  <c r="M52" i="6"/>
  <c r="L52" i="6"/>
  <c r="K52" i="6"/>
  <c r="N51" i="6"/>
  <c r="M51" i="6"/>
  <c r="L51" i="6"/>
  <c r="K51" i="6"/>
  <c r="N50" i="6"/>
  <c r="M50" i="6"/>
  <c r="L50" i="6"/>
  <c r="K50" i="6"/>
  <c r="N49" i="6"/>
  <c r="M49" i="6"/>
  <c r="L49" i="6"/>
  <c r="K49" i="6"/>
  <c r="N47" i="6"/>
  <c r="M47" i="6"/>
  <c r="L47" i="6"/>
  <c r="K47" i="6"/>
  <c r="N46" i="6"/>
  <c r="M46" i="6"/>
  <c r="L46" i="6"/>
  <c r="K46" i="6"/>
  <c r="N45" i="6"/>
  <c r="M45" i="6"/>
  <c r="L45" i="6"/>
  <c r="K45" i="6"/>
  <c r="J25" i="17" l="1"/>
  <c r="J11" i="1"/>
  <c r="J10" i="17"/>
  <c r="J37" i="7"/>
  <c r="J4" i="7" s="1"/>
  <c r="E36" i="7"/>
  <c r="E37" i="7" s="1"/>
  <c r="F36" i="7"/>
  <c r="F37" i="7" s="1"/>
  <c r="D36" i="7"/>
  <c r="D37" i="7" s="1"/>
  <c r="H36" i="7"/>
  <c r="H37" i="7" s="1"/>
  <c r="I36" i="7"/>
  <c r="I37" i="7" s="1"/>
  <c r="G36" i="7"/>
  <c r="G37" i="7" s="1"/>
  <c r="H75" i="6"/>
  <c r="H60" i="6"/>
  <c r="F60" i="6"/>
  <c r="L54" i="6"/>
  <c r="C60" i="6"/>
  <c r="K60" i="6" s="1"/>
  <c r="D60" i="6"/>
  <c r="E60" i="6"/>
  <c r="M60" i="6" s="1"/>
  <c r="L59" i="6"/>
  <c r="M59" i="6"/>
  <c r="N59" i="6"/>
  <c r="K59" i="6"/>
  <c r="L60" i="6" l="1"/>
  <c r="E4" i="7"/>
  <c r="E38" i="7"/>
  <c r="H38" i="7"/>
  <c r="H4" i="7"/>
  <c r="J38" i="7"/>
  <c r="J39" i="7" s="1"/>
  <c r="J6" i="7" s="1"/>
  <c r="D4" i="7"/>
  <c r="D38" i="7"/>
  <c r="I38" i="7"/>
  <c r="I4" i="7"/>
  <c r="G4" i="7"/>
  <c r="G38" i="7"/>
  <c r="F38" i="7"/>
  <c r="F4" i="7"/>
  <c r="N60" i="6"/>
  <c r="C20" i="6" s="1"/>
  <c r="J5" i="7" l="1"/>
  <c r="C83" i="6"/>
  <c r="G39" i="7"/>
  <c r="G6" i="7" s="1"/>
  <c r="G5" i="7"/>
  <c r="H5" i="7"/>
  <c r="H39" i="7"/>
  <c r="H6" i="7" s="1"/>
  <c r="I39" i="7"/>
  <c r="I6" i="7" s="1"/>
  <c r="I5" i="7"/>
  <c r="D39" i="7"/>
  <c r="D6" i="7" s="1"/>
  <c r="D5" i="7"/>
  <c r="E39" i="7"/>
  <c r="E6" i="7" s="1"/>
  <c r="E5" i="7"/>
  <c r="F39" i="7"/>
  <c r="F6" i="7" s="1"/>
  <c r="F5" i="7"/>
  <c r="J13" i="17"/>
  <c r="J28" i="17"/>
  <c r="J14" i="1"/>
  <c r="F74" i="6"/>
  <c r="J74" i="6"/>
  <c r="E74" i="6"/>
  <c r="G74" i="6"/>
  <c r="C74" i="6"/>
  <c r="D74" i="6"/>
  <c r="H74" i="6"/>
  <c r="I74" i="6"/>
  <c r="C4" i="6" l="1"/>
  <c r="C84" i="6"/>
  <c r="F14" i="1"/>
  <c r="F13" i="17"/>
  <c r="F28" i="17"/>
  <c r="H14" i="1"/>
  <c r="H13" i="17"/>
  <c r="H28" i="17"/>
  <c r="D14" i="1"/>
  <c r="D13" i="17"/>
  <c r="D28" i="17"/>
  <c r="E13" i="17"/>
  <c r="E14" i="1"/>
  <c r="E28" i="17"/>
  <c r="I28" i="17"/>
  <c r="I14" i="1"/>
  <c r="I13" i="17"/>
  <c r="G28" i="17"/>
  <c r="G13" i="17"/>
  <c r="G14" i="1"/>
  <c r="C16" i="6"/>
  <c r="C85" i="6" l="1"/>
  <c r="C6" i="6" s="1"/>
  <c r="C5" i="6"/>
  <c r="C12" i="1" s="1"/>
  <c r="J80" i="16"/>
  <c r="C5" i="16"/>
  <c r="C10" i="1" s="1"/>
  <c r="C9" i="17" s="1"/>
  <c r="C6" i="16"/>
  <c r="C4" i="16"/>
  <c r="B80" i="16"/>
  <c r="B77" i="16"/>
  <c r="J79" i="16"/>
  <c r="I79" i="16"/>
  <c r="F79" i="16"/>
  <c r="H68" i="16"/>
  <c r="I68" i="16"/>
  <c r="H63" i="16"/>
  <c r="I63" i="16"/>
  <c r="H64" i="16"/>
  <c r="I64" i="16"/>
  <c r="I65" i="16"/>
  <c r="H66" i="16"/>
  <c r="I66" i="16"/>
  <c r="H67" i="16"/>
  <c r="I67" i="16"/>
  <c r="I62" i="16"/>
  <c r="H62" i="16"/>
  <c r="D69" i="16"/>
  <c r="C65" i="16"/>
  <c r="H65" i="16" s="1"/>
  <c r="B21" i="8"/>
  <c r="B20" i="8"/>
  <c r="C53" i="1"/>
  <c r="C21" i="8" s="1"/>
  <c r="D44" i="8" s="1"/>
  <c r="C52" i="1"/>
  <c r="C20" i="8" s="1"/>
  <c r="D43" i="8" s="1"/>
  <c r="C21" i="16"/>
  <c r="H44" i="16" s="1"/>
  <c r="I44" i="16" s="1"/>
  <c r="D34" i="16" s="1"/>
  <c r="B21" i="16"/>
  <c r="I80" i="16"/>
  <c r="E80" i="16"/>
  <c r="B23" i="16"/>
  <c r="C23" i="16"/>
  <c r="B22" i="16"/>
  <c r="C22" i="16"/>
  <c r="H45" i="16" s="1"/>
  <c r="I45" i="16" s="1"/>
  <c r="D35" i="16" s="1"/>
  <c r="C20" i="16"/>
  <c r="H47" i="16" s="1"/>
  <c r="I47" i="16" s="1"/>
  <c r="C41" i="1"/>
  <c r="D39" i="1" s="1"/>
  <c r="C69" i="16" l="1"/>
  <c r="C24" i="17"/>
  <c r="D80" i="16"/>
  <c r="G80" i="16"/>
  <c r="F80" i="16"/>
  <c r="H80" i="16"/>
  <c r="I69" i="16"/>
  <c r="I70" i="16" s="1"/>
  <c r="H82" i="16"/>
  <c r="I82" i="16"/>
  <c r="G82" i="16"/>
  <c r="I83" i="16"/>
  <c r="G83" i="16"/>
  <c r="H83" i="16"/>
  <c r="C34" i="16"/>
  <c r="C35" i="16"/>
  <c r="H69" i="16"/>
  <c r="H70" i="16" s="1"/>
  <c r="H54" i="16"/>
  <c r="I54" i="16" s="1"/>
  <c r="H57" i="16"/>
  <c r="I57" i="16" s="1"/>
  <c r="H53" i="16"/>
  <c r="I53" i="16" s="1"/>
  <c r="H49" i="16"/>
  <c r="I49" i="16" s="1"/>
  <c r="H50" i="16"/>
  <c r="I50" i="16" s="1"/>
  <c r="H56" i="16"/>
  <c r="I56" i="16" s="1"/>
  <c r="H52" i="16"/>
  <c r="I52" i="16" s="1"/>
  <c r="H48" i="16"/>
  <c r="I48" i="16" s="1"/>
  <c r="H46" i="16"/>
  <c r="H55" i="16"/>
  <c r="I55" i="16" s="1"/>
  <c r="H51" i="16"/>
  <c r="I51" i="16" s="1"/>
  <c r="D40" i="1"/>
  <c r="C83" i="16" l="1"/>
  <c r="E35" i="16"/>
  <c r="J83" i="16" s="1"/>
  <c r="C82" i="16"/>
  <c r="E34" i="16"/>
  <c r="J82" i="16" s="1"/>
  <c r="C36" i="16"/>
  <c r="E83" i="16"/>
  <c r="F83" i="16"/>
  <c r="D83" i="16"/>
  <c r="D82" i="16"/>
  <c r="F82" i="16"/>
  <c r="E82" i="16"/>
  <c r="I43" i="16"/>
  <c r="D33" i="16" s="1"/>
  <c r="C33" i="16"/>
  <c r="D27" i="16"/>
  <c r="C27" i="16"/>
  <c r="I46" i="16"/>
  <c r="D36" i="16" s="1"/>
  <c r="H58" i="16"/>
  <c r="I58" i="16" s="1"/>
  <c r="C81" i="16" l="1"/>
  <c r="E33" i="16"/>
  <c r="J81" i="16" s="1"/>
  <c r="C84" i="16"/>
  <c r="E36" i="16"/>
  <c r="J84" i="16" s="1"/>
  <c r="D79" i="16"/>
  <c r="G79" i="16"/>
  <c r="H79" i="16"/>
  <c r="E79" i="16"/>
  <c r="G81" i="16"/>
  <c r="H81" i="16"/>
  <c r="I81" i="16"/>
  <c r="H84" i="16"/>
  <c r="G84" i="16"/>
  <c r="I84" i="16"/>
  <c r="F81" i="16"/>
  <c r="E81" i="16"/>
  <c r="D81" i="16"/>
  <c r="F84" i="16"/>
  <c r="D84" i="16"/>
  <c r="E84" i="16"/>
  <c r="E30" i="16" l="1"/>
  <c r="D30" i="16"/>
  <c r="C30" i="16"/>
  <c r="E25" i="16"/>
  <c r="D25" i="16"/>
  <c r="C25" i="16"/>
  <c r="C16" i="16"/>
  <c r="D97" i="16" s="1"/>
  <c r="C5" i="15"/>
  <c r="E107" i="16" l="1"/>
  <c r="I107" i="16"/>
  <c r="G97" i="16"/>
  <c r="E87" i="16"/>
  <c r="I87" i="16"/>
  <c r="F107" i="16"/>
  <c r="J107" i="16"/>
  <c r="H97" i="16"/>
  <c r="F87" i="16"/>
  <c r="J87" i="16"/>
  <c r="G107" i="16"/>
  <c r="D107" i="16"/>
  <c r="E97" i="16"/>
  <c r="I97" i="16"/>
  <c r="G87" i="16"/>
  <c r="D87" i="16"/>
  <c r="H107" i="16"/>
  <c r="J97" i="16"/>
  <c r="H87" i="16"/>
  <c r="F97" i="16"/>
  <c r="C9" i="1"/>
  <c r="C8" i="17"/>
  <c r="C23" i="17"/>
  <c r="C6" i="15"/>
  <c r="J91" i="15" l="1"/>
  <c r="I91" i="15"/>
  <c r="F91" i="15"/>
  <c r="J94" i="15"/>
  <c r="J95" i="15"/>
  <c r="J96" i="15"/>
  <c r="J97" i="15"/>
  <c r="J93" i="15"/>
  <c r="D69" i="15"/>
  <c r="D70" i="15"/>
  <c r="D71" i="15"/>
  <c r="D72" i="15"/>
  <c r="J57" i="15"/>
  <c r="C63" i="15"/>
  <c r="F61" i="15"/>
  <c r="J61" i="15"/>
  <c r="I61" i="15"/>
  <c r="F60" i="15"/>
  <c r="J60" i="15"/>
  <c r="I60" i="15"/>
  <c r="F59" i="15"/>
  <c r="J59" i="15"/>
  <c r="I59" i="15"/>
  <c r="F58" i="15"/>
  <c r="J58" i="15"/>
  <c r="I58" i="15"/>
  <c r="F57" i="15"/>
  <c r="I57" i="15"/>
  <c r="H96" i="15" l="1"/>
  <c r="I96" i="15"/>
  <c r="G96" i="15"/>
  <c r="H95" i="15"/>
  <c r="G95" i="15"/>
  <c r="I95" i="15"/>
  <c r="H93" i="15"/>
  <c r="I93" i="15"/>
  <c r="G93" i="15"/>
  <c r="H94" i="15"/>
  <c r="I94" i="15"/>
  <c r="G94" i="15"/>
  <c r="J63" i="15"/>
  <c r="J64" i="15" s="1"/>
  <c r="D76" i="15" s="1"/>
  <c r="F63" i="15"/>
  <c r="F64" i="15" s="1"/>
  <c r="C76" i="15" s="1"/>
  <c r="H91" i="15" l="1"/>
  <c r="E91" i="15"/>
  <c r="G91" i="15"/>
  <c r="D91" i="15"/>
  <c r="E27" i="15" l="1"/>
  <c r="D27" i="15"/>
  <c r="C27" i="15"/>
  <c r="E20" i="15"/>
  <c r="D20" i="15"/>
  <c r="C20" i="15"/>
  <c r="C16" i="15"/>
  <c r="C5" i="13"/>
  <c r="E40" i="13"/>
  <c r="E45" i="13" s="1"/>
  <c r="E46" i="13" s="1"/>
  <c r="F40" i="13"/>
  <c r="F45" i="13" s="1"/>
  <c r="F46" i="13" s="1"/>
  <c r="D40" i="13"/>
  <c r="D45" i="13" s="1"/>
  <c r="D46" i="13" s="1"/>
  <c r="E26" i="13"/>
  <c r="J35" i="13" s="1"/>
  <c r="D26" i="13"/>
  <c r="C26" i="13"/>
  <c r="E23" i="13"/>
  <c r="D23" i="13"/>
  <c r="C23" i="13"/>
  <c r="C21" i="13"/>
  <c r="B21" i="13"/>
  <c r="C20" i="13"/>
  <c r="B20" i="13"/>
  <c r="C16" i="13"/>
  <c r="C6" i="13" l="1"/>
  <c r="C22" i="17"/>
  <c r="C7" i="17"/>
  <c r="E34" i="13"/>
  <c r="H34" i="13"/>
  <c r="J34" i="13"/>
  <c r="I34" i="13"/>
  <c r="F34" i="13"/>
  <c r="F35" i="13"/>
  <c r="D35" i="13"/>
  <c r="E35" i="13"/>
  <c r="D34" i="13"/>
  <c r="G34" i="13"/>
  <c r="G35" i="13"/>
  <c r="H35" i="13"/>
  <c r="I35" i="13"/>
  <c r="C8" i="1"/>
  <c r="I36" i="15"/>
  <c r="I87" i="15"/>
  <c r="J87" i="15"/>
  <c r="F87" i="15"/>
  <c r="F38" i="15"/>
  <c r="D88" i="15"/>
  <c r="F88" i="15"/>
  <c r="E88" i="15"/>
  <c r="D36" i="15"/>
  <c r="D87" i="15"/>
  <c r="G87" i="15"/>
  <c r="H38" i="15"/>
  <c r="G88" i="15"/>
  <c r="H88" i="15"/>
  <c r="I88" i="15"/>
  <c r="H36" i="15"/>
  <c r="H87" i="15"/>
  <c r="E87" i="15"/>
  <c r="J38" i="15"/>
  <c r="J88" i="15"/>
  <c r="F36" i="15"/>
  <c r="E38" i="15"/>
  <c r="E36" i="15"/>
  <c r="J36" i="15"/>
  <c r="G38" i="15"/>
  <c r="G36" i="15"/>
  <c r="D38" i="15"/>
  <c r="I38" i="15"/>
  <c r="C44" i="8"/>
  <c r="I44" i="8" s="1"/>
  <c r="C4" i="8"/>
  <c r="C58" i="8"/>
  <c r="C5" i="8" s="1"/>
  <c r="C43" i="8"/>
  <c r="I43" i="8" s="1"/>
  <c r="C16" i="2"/>
  <c r="F39" i="2"/>
  <c r="F40" i="2"/>
  <c r="F38" i="2"/>
  <c r="E23" i="8"/>
  <c r="E24" i="8"/>
  <c r="E24" i="2"/>
  <c r="E23" i="2"/>
  <c r="I49" i="8" l="1"/>
  <c r="J64" i="8"/>
  <c r="J80" i="8"/>
  <c r="F80" i="8"/>
  <c r="I64" i="8"/>
  <c r="I80" i="8"/>
  <c r="J49" i="8"/>
  <c r="F64" i="8"/>
  <c r="F49" i="8"/>
  <c r="C7" i="1"/>
  <c r="C21" i="17"/>
  <c r="C6" i="17"/>
  <c r="C59" i="8"/>
  <c r="C6" i="8" s="1"/>
  <c r="E29" i="8" l="1"/>
  <c r="D29" i="8"/>
  <c r="C29" i="8"/>
  <c r="D24" i="8"/>
  <c r="C24" i="8"/>
  <c r="D23" i="8"/>
  <c r="C23" i="8"/>
  <c r="J44" i="8"/>
  <c r="J43" i="8"/>
  <c r="C16" i="8"/>
  <c r="F46" i="2"/>
  <c r="I46" i="2"/>
  <c r="J46" i="2"/>
  <c r="E51" i="2"/>
  <c r="E74" i="2" s="1"/>
  <c r="E39" i="13" s="1"/>
  <c r="E44" i="13" s="1"/>
  <c r="E61" i="1"/>
  <c r="C20" i="2"/>
  <c r="C21" i="2"/>
  <c r="B21" i="2"/>
  <c r="B20" i="2"/>
  <c r="H80" i="8" l="1"/>
  <c r="H49" i="8"/>
  <c r="E64" i="8"/>
  <c r="E49" i="8"/>
  <c r="E80" i="8"/>
  <c r="H64" i="8"/>
  <c r="I81" i="8"/>
  <c r="H65" i="8"/>
  <c r="H81" i="8"/>
  <c r="G81" i="8"/>
  <c r="I65" i="8"/>
  <c r="G65" i="8"/>
  <c r="D80" i="8"/>
  <c r="G64" i="8"/>
  <c r="G80" i="8"/>
  <c r="D64" i="8"/>
  <c r="D49" i="8"/>
  <c r="G49" i="8"/>
  <c r="E81" i="8"/>
  <c r="D65" i="8"/>
  <c r="D81" i="8"/>
  <c r="F65" i="8"/>
  <c r="F81" i="8"/>
  <c r="E65" i="8"/>
  <c r="J50" i="8"/>
  <c r="J65" i="8"/>
  <c r="J81" i="8"/>
  <c r="F50" i="8"/>
  <c r="E50" i="8"/>
  <c r="D50" i="8"/>
  <c r="I50" i="8"/>
  <c r="H50" i="8"/>
  <c r="G50" i="8"/>
  <c r="C26" i="8"/>
  <c r="D26" i="8"/>
  <c r="E86" i="8" s="1"/>
  <c r="D51" i="2"/>
  <c r="D74" i="2" s="1"/>
  <c r="D39" i="13" s="1"/>
  <c r="D44" i="13" s="1"/>
  <c r="H51" i="2"/>
  <c r="G51" i="2"/>
  <c r="F51" i="2"/>
  <c r="F74" i="2" s="1"/>
  <c r="F39" i="13" s="1"/>
  <c r="F44" i="13" s="1"/>
  <c r="I51" i="2"/>
  <c r="D86" i="8" l="1"/>
  <c r="E26" i="8"/>
  <c r="G86" i="8"/>
  <c r="G55" i="8"/>
  <c r="H86" i="8"/>
  <c r="H55" i="8"/>
  <c r="H34" i="2"/>
  <c r="I34" i="2" s="1"/>
  <c r="H33" i="2"/>
  <c r="I33" i="2" s="1"/>
  <c r="F86" i="8" l="1"/>
  <c r="I86" i="8"/>
  <c r="J86" i="8"/>
  <c r="I55" i="8"/>
  <c r="J55" i="8"/>
  <c r="J44" i="2"/>
  <c r="F44" i="2"/>
  <c r="I44" i="2"/>
  <c r="D26" i="2"/>
  <c r="C26" i="2"/>
  <c r="I52" i="2" l="1"/>
  <c r="I54" i="2" s="1"/>
  <c r="F52" i="2"/>
  <c r="F54" i="2" s="1"/>
  <c r="J52" i="2"/>
  <c r="J54" i="2" s="1"/>
  <c r="G46" i="2"/>
  <c r="D46" i="2"/>
  <c r="H46" i="2"/>
  <c r="E46" i="2"/>
  <c r="D23" i="2"/>
  <c r="C23" i="2"/>
  <c r="I82" i="8" l="1"/>
  <c r="I51" i="8"/>
  <c r="I66" i="8"/>
  <c r="F66" i="8"/>
  <c r="F82" i="8"/>
  <c r="F51" i="8"/>
  <c r="J66" i="8"/>
  <c r="J51" i="8"/>
  <c r="J82" i="8"/>
  <c r="J36" i="13"/>
  <c r="F36" i="13"/>
  <c r="I36" i="13"/>
  <c r="I55" i="2"/>
  <c r="F55" i="2"/>
  <c r="J55" i="2"/>
  <c r="E44" i="2"/>
  <c r="H44" i="2"/>
  <c r="D44" i="2"/>
  <c r="G44" i="2"/>
  <c r="D29" i="2"/>
  <c r="E29" i="2"/>
  <c r="J47" i="2" s="1"/>
  <c r="C29" i="2"/>
  <c r="D24" i="2"/>
  <c r="C24" i="2"/>
  <c r="D47" i="5"/>
  <c r="G52" i="2" l="1"/>
  <c r="G54" i="2" s="1"/>
  <c r="D52" i="2"/>
  <c r="J48" i="2"/>
  <c r="J66" i="2"/>
  <c r="H52" i="2"/>
  <c r="H54" i="2" s="1"/>
  <c r="E52" i="2"/>
  <c r="E54" i="2" s="1"/>
  <c r="E47" i="2"/>
  <c r="E66" i="2" s="1"/>
  <c r="D47" i="2"/>
  <c r="F47" i="2"/>
  <c r="H45" i="2"/>
  <c r="H65" i="2" s="1"/>
  <c r="E45" i="2"/>
  <c r="E65" i="2" s="1"/>
  <c r="G45" i="2"/>
  <c r="G65" i="2" s="1"/>
  <c r="D45" i="2"/>
  <c r="D65" i="2" s="1"/>
  <c r="F45" i="2"/>
  <c r="J45" i="2"/>
  <c r="I45" i="2"/>
  <c r="H47" i="2"/>
  <c r="I47" i="2"/>
  <c r="G47" i="2"/>
  <c r="D54" i="2" l="1"/>
  <c r="D66" i="8" s="1"/>
  <c r="E82" i="8"/>
  <c r="E66" i="8"/>
  <c r="E51" i="8"/>
  <c r="H82" i="8"/>
  <c r="H66" i="8"/>
  <c r="H51" i="8"/>
  <c r="G82" i="8"/>
  <c r="G66" i="8"/>
  <c r="G51" i="8"/>
  <c r="J84" i="8"/>
  <c r="J68" i="8"/>
  <c r="J53" i="8"/>
  <c r="J76" i="16"/>
  <c r="G55" i="2"/>
  <c r="G56" i="2" s="1"/>
  <c r="G36" i="13"/>
  <c r="H55" i="2"/>
  <c r="H56" i="2" s="1"/>
  <c r="H36" i="13"/>
  <c r="D55" i="2"/>
  <c r="D56" i="2" s="1"/>
  <c r="D36" i="13"/>
  <c r="E55" i="2"/>
  <c r="E56" i="2" s="1"/>
  <c r="E36" i="13"/>
  <c r="J69" i="2"/>
  <c r="J67" i="2"/>
  <c r="J68" i="2"/>
  <c r="J49" i="2"/>
  <c r="E67" i="2"/>
  <c r="E68" i="2"/>
  <c r="E69" i="2"/>
  <c r="J53" i="2"/>
  <c r="E48" i="2"/>
  <c r="F56" i="2"/>
  <c r="F65" i="2"/>
  <c r="H48" i="2"/>
  <c r="H66" i="2"/>
  <c r="F48" i="2"/>
  <c r="F66" i="2"/>
  <c r="I56" i="2"/>
  <c r="I65" i="2"/>
  <c r="D48" i="2"/>
  <c r="D53" i="2" s="1"/>
  <c r="D66" i="2"/>
  <c r="I48" i="2"/>
  <c r="I66" i="2"/>
  <c r="G48" i="2"/>
  <c r="G66" i="2"/>
  <c r="J56" i="2"/>
  <c r="J57" i="2" s="1"/>
  <c r="J65" i="2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44" i="5"/>
  <c r="F44" i="5" s="1"/>
  <c r="G57" i="2" l="1"/>
  <c r="G58" i="2" s="1"/>
  <c r="J4" i="1"/>
  <c r="J20" i="1"/>
  <c r="J19" i="17"/>
  <c r="J4" i="17"/>
  <c r="D82" i="8"/>
  <c r="J72" i="6"/>
  <c r="D51" i="8"/>
  <c r="G68" i="8"/>
  <c r="G53" i="8"/>
  <c r="G84" i="8"/>
  <c r="E84" i="8"/>
  <c r="E68" i="8"/>
  <c r="E53" i="8"/>
  <c r="H76" i="16"/>
  <c r="H53" i="8"/>
  <c r="H84" i="8"/>
  <c r="H68" i="8"/>
  <c r="D84" i="8"/>
  <c r="D68" i="8"/>
  <c r="D53" i="8"/>
  <c r="I76" i="16"/>
  <c r="I53" i="8"/>
  <c r="I84" i="8"/>
  <c r="I68" i="8"/>
  <c r="F76" i="16"/>
  <c r="F84" i="8"/>
  <c r="F68" i="8"/>
  <c r="F53" i="8"/>
  <c r="J75" i="16"/>
  <c r="J85" i="16" s="1"/>
  <c r="J67" i="8"/>
  <c r="J83" i="8"/>
  <c r="J52" i="8"/>
  <c r="J50" i="2"/>
  <c r="G53" i="2"/>
  <c r="G76" i="16"/>
  <c r="E53" i="2"/>
  <c r="E76" i="16"/>
  <c r="D76" i="16"/>
  <c r="J39" i="15"/>
  <c r="J89" i="15"/>
  <c r="J37" i="13"/>
  <c r="J41" i="13" s="1"/>
  <c r="F53" i="2"/>
  <c r="G68" i="2"/>
  <c r="G69" i="2"/>
  <c r="G67" i="2"/>
  <c r="D68" i="2"/>
  <c r="D67" i="2"/>
  <c r="D69" i="2"/>
  <c r="F69" i="2"/>
  <c r="F67" i="2"/>
  <c r="F68" i="2"/>
  <c r="G49" i="2"/>
  <c r="D49" i="2"/>
  <c r="F49" i="2"/>
  <c r="I67" i="2"/>
  <c r="I68" i="2"/>
  <c r="I69" i="2"/>
  <c r="H67" i="2"/>
  <c r="H68" i="2"/>
  <c r="H69" i="2"/>
  <c r="E49" i="2"/>
  <c r="J72" i="2"/>
  <c r="I49" i="2"/>
  <c r="I57" i="2"/>
  <c r="I58" i="2" s="1"/>
  <c r="H49" i="2"/>
  <c r="D57" i="2"/>
  <c r="D58" i="2" s="1"/>
  <c r="E57" i="2"/>
  <c r="E58" i="2" s="1"/>
  <c r="F57" i="2"/>
  <c r="F58" i="2" s="1"/>
  <c r="H57" i="2"/>
  <c r="H58" i="2" s="1"/>
  <c r="I53" i="2"/>
  <c r="J59" i="2"/>
  <c r="H53" i="2"/>
  <c r="E59" i="2"/>
  <c r="E4" i="2" s="1"/>
  <c r="J58" i="2"/>
  <c r="J61" i="2" s="1"/>
  <c r="J60" i="2"/>
  <c r="F55" i="5"/>
  <c r="C37" i="5" s="1"/>
  <c r="C38" i="5" s="1"/>
  <c r="C39" i="5" s="1"/>
  <c r="E55" i="5"/>
  <c r="J73" i="6" l="1"/>
  <c r="F4" i="1"/>
  <c r="F20" i="1"/>
  <c r="E4" i="1"/>
  <c r="E20" i="1"/>
  <c r="D20" i="1"/>
  <c r="D4" i="1"/>
  <c r="I4" i="1"/>
  <c r="I20" i="1"/>
  <c r="H4" i="1"/>
  <c r="H20" i="1"/>
  <c r="G20" i="1"/>
  <c r="G4" i="1"/>
  <c r="H19" i="17"/>
  <c r="H4" i="17"/>
  <c r="D4" i="17"/>
  <c r="D19" i="17"/>
  <c r="F19" i="17"/>
  <c r="F4" i="17"/>
  <c r="E19" i="17"/>
  <c r="E4" i="17"/>
  <c r="G4" i="17"/>
  <c r="G19" i="17"/>
  <c r="I4" i="17"/>
  <c r="I19" i="17"/>
  <c r="G72" i="6"/>
  <c r="I72" i="6"/>
  <c r="F50" i="2"/>
  <c r="F72" i="6"/>
  <c r="H72" i="6"/>
  <c r="E72" i="6"/>
  <c r="D72" i="6"/>
  <c r="J79" i="6"/>
  <c r="J78" i="6"/>
  <c r="J77" i="6"/>
  <c r="E63" i="5"/>
  <c r="H63" i="5"/>
  <c r="J78" i="16"/>
  <c r="J106" i="16" s="1"/>
  <c r="G75" i="16"/>
  <c r="G105" i="16" s="1"/>
  <c r="G52" i="8"/>
  <c r="G83" i="8"/>
  <c r="G67" i="8"/>
  <c r="G50" i="2"/>
  <c r="H75" i="16"/>
  <c r="H85" i="16" s="1"/>
  <c r="H83" i="8"/>
  <c r="H67" i="8"/>
  <c r="H52" i="8"/>
  <c r="H50" i="2"/>
  <c r="E75" i="16"/>
  <c r="E95" i="16" s="1"/>
  <c r="E52" i="8"/>
  <c r="E67" i="8"/>
  <c r="E83" i="8"/>
  <c r="E50" i="2"/>
  <c r="D75" i="16"/>
  <c r="D85" i="16" s="1"/>
  <c r="D67" i="8"/>
  <c r="D83" i="8"/>
  <c r="D52" i="8"/>
  <c r="D50" i="2"/>
  <c r="I75" i="16"/>
  <c r="I105" i="16" s="1"/>
  <c r="I83" i="8"/>
  <c r="I67" i="8"/>
  <c r="I52" i="8"/>
  <c r="J95" i="16"/>
  <c r="F75" i="16"/>
  <c r="F78" i="16" s="1"/>
  <c r="F67" i="8"/>
  <c r="F83" i="8"/>
  <c r="F52" i="8"/>
  <c r="J105" i="16"/>
  <c r="J85" i="8"/>
  <c r="J87" i="8"/>
  <c r="J57" i="8" s="1"/>
  <c r="I50" i="2"/>
  <c r="J70" i="8"/>
  <c r="J72" i="8"/>
  <c r="J69" i="8"/>
  <c r="J71" i="8"/>
  <c r="J73" i="8"/>
  <c r="J74" i="8" s="1"/>
  <c r="J75" i="8" s="1"/>
  <c r="J109" i="16"/>
  <c r="J96" i="16"/>
  <c r="J89" i="16"/>
  <c r="H95" i="16"/>
  <c r="J90" i="15"/>
  <c r="J108" i="15" s="1"/>
  <c r="J77" i="16"/>
  <c r="F39" i="15"/>
  <c r="F89" i="15"/>
  <c r="H39" i="15"/>
  <c r="H89" i="15"/>
  <c r="E39" i="15"/>
  <c r="E89" i="15"/>
  <c r="D39" i="15"/>
  <c r="D42" i="15" s="1"/>
  <c r="D89" i="15"/>
  <c r="I39" i="15"/>
  <c r="I89" i="15"/>
  <c r="G39" i="15"/>
  <c r="G42" i="15" s="1"/>
  <c r="G89" i="15"/>
  <c r="J40" i="15"/>
  <c r="J38" i="13"/>
  <c r="J42" i="13" s="1"/>
  <c r="G59" i="2"/>
  <c r="F61" i="2"/>
  <c r="E37" i="13"/>
  <c r="E41" i="13" s="1"/>
  <c r="D37" i="13"/>
  <c r="D41" i="13" s="1"/>
  <c r="I37" i="13"/>
  <c r="I41" i="13" s="1"/>
  <c r="F37" i="13"/>
  <c r="F41" i="13" s="1"/>
  <c r="H37" i="13"/>
  <c r="H41" i="13" s="1"/>
  <c r="I61" i="2"/>
  <c r="G37" i="13"/>
  <c r="G41" i="13" s="1"/>
  <c r="J54" i="8"/>
  <c r="D59" i="2"/>
  <c r="D4" i="2" s="1"/>
  <c r="H59" i="2"/>
  <c r="E61" i="2"/>
  <c r="I57" i="8"/>
  <c r="D61" i="2"/>
  <c r="H61" i="2"/>
  <c r="I59" i="2"/>
  <c r="I72" i="2"/>
  <c r="G72" i="2"/>
  <c r="H72" i="2"/>
  <c r="E72" i="2"/>
  <c r="E71" i="2" s="1"/>
  <c r="E70" i="2" s="1"/>
  <c r="G61" i="2"/>
  <c r="F59" i="2"/>
  <c r="F4" i="2" s="1"/>
  <c r="F72" i="2"/>
  <c r="F71" i="2" s="1"/>
  <c r="F70" i="2" s="1"/>
  <c r="F60" i="2"/>
  <c r="I60" i="2"/>
  <c r="G60" i="2"/>
  <c r="J71" i="2"/>
  <c r="J70" i="2" s="1"/>
  <c r="D72" i="2"/>
  <c r="D71" i="2" s="1"/>
  <c r="D60" i="2"/>
  <c r="E60" i="2"/>
  <c r="H60" i="2"/>
  <c r="D73" i="6" l="1"/>
  <c r="D5" i="1"/>
  <c r="I73" i="6"/>
  <c r="I79" i="6" s="1"/>
  <c r="G73" i="6"/>
  <c r="G78" i="6" s="1"/>
  <c r="E73" i="6"/>
  <c r="E5" i="1"/>
  <c r="H73" i="6"/>
  <c r="F73" i="6"/>
  <c r="F79" i="6" s="1"/>
  <c r="F5" i="1"/>
  <c r="J45" i="15"/>
  <c r="J46" i="15" s="1"/>
  <c r="J47" i="15" s="1"/>
  <c r="J82" i="6"/>
  <c r="J90" i="6"/>
  <c r="J98" i="6"/>
  <c r="E78" i="16"/>
  <c r="J96" i="6"/>
  <c r="J91" i="6"/>
  <c r="J92" i="6" s="1"/>
  <c r="J11" i="17" s="1"/>
  <c r="J80" i="6"/>
  <c r="J99" i="6"/>
  <c r="J100" i="6" s="1"/>
  <c r="J88" i="6"/>
  <c r="D79" i="6"/>
  <c r="D78" i="6"/>
  <c r="D77" i="6"/>
  <c r="J81" i="6"/>
  <c r="J89" i="6"/>
  <c r="J97" i="6"/>
  <c r="E79" i="6"/>
  <c r="E77" i="6"/>
  <c r="E78" i="6"/>
  <c r="I78" i="6"/>
  <c r="G79" i="6"/>
  <c r="H79" i="6"/>
  <c r="H77" i="6"/>
  <c r="H78" i="6"/>
  <c r="D95" i="16"/>
  <c r="F105" i="16"/>
  <c r="F85" i="16"/>
  <c r="H78" i="16"/>
  <c r="H99" i="16" s="1"/>
  <c r="H105" i="16"/>
  <c r="J88" i="16"/>
  <c r="I85" i="16"/>
  <c r="I78" i="16"/>
  <c r="I109" i="16" s="1"/>
  <c r="G85" i="16"/>
  <c r="I95" i="16"/>
  <c r="G78" i="16"/>
  <c r="G99" i="16" s="1"/>
  <c r="G95" i="16"/>
  <c r="H64" i="5"/>
  <c r="H4" i="5" s="1"/>
  <c r="H66" i="5"/>
  <c r="H6" i="5" s="1"/>
  <c r="H65" i="5"/>
  <c r="H5" i="5" s="1"/>
  <c r="E64" i="5"/>
  <c r="E4" i="5" s="1"/>
  <c r="E66" i="5"/>
  <c r="E6" i="5" s="1"/>
  <c r="E65" i="5"/>
  <c r="E5" i="5" s="1"/>
  <c r="D78" i="16"/>
  <c r="D109" i="16" s="1"/>
  <c r="D105" i="16"/>
  <c r="J99" i="16"/>
  <c r="J86" i="16"/>
  <c r="J90" i="16" s="1"/>
  <c r="J98" i="16"/>
  <c r="J108" i="16"/>
  <c r="J110" i="16" s="1"/>
  <c r="J111" i="16" s="1"/>
  <c r="J24" i="17" s="1"/>
  <c r="J113" i="15"/>
  <c r="J114" i="15" s="1"/>
  <c r="J115" i="15" s="1"/>
  <c r="G88" i="8"/>
  <c r="G89" i="8" s="1"/>
  <c r="G85" i="8"/>
  <c r="G87" i="8"/>
  <c r="D88" i="8"/>
  <c r="D89" i="8" s="1"/>
  <c r="D85" i="8"/>
  <c r="D87" i="8"/>
  <c r="E85" i="8"/>
  <c r="E87" i="8"/>
  <c r="E88" i="8" s="1"/>
  <c r="E89" i="8" s="1"/>
  <c r="E105" i="16"/>
  <c r="F95" i="16"/>
  <c r="H70" i="8"/>
  <c r="H73" i="8"/>
  <c r="H74" i="8" s="1"/>
  <c r="H75" i="8" s="1"/>
  <c r="H71" i="8"/>
  <c r="H72" i="8"/>
  <c r="H69" i="8"/>
  <c r="G70" i="8"/>
  <c r="G71" i="8"/>
  <c r="G72" i="8"/>
  <c r="G73" i="8"/>
  <c r="G74" i="8"/>
  <c r="G75" i="8" s="1"/>
  <c r="G69" i="8"/>
  <c r="H85" i="8"/>
  <c r="H87" i="8"/>
  <c r="H88" i="8" s="1"/>
  <c r="H89" i="8" s="1"/>
  <c r="E85" i="16"/>
  <c r="D70" i="8"/>
  <c r="D72" i="8"/>
  <c r="D73" i="8"/>
  <c r="D71" i="8"/>
  <c r="D74" i="8"/>
  <c r="D75" i="8" s="1"/>
  <c r="D69" i="8"/>
  <c r="E72" i="8"/>
  <c r="E73" i="8"/>
  <c r="E74" i="8" s="1"/>
  <c r="E75" i="8" s="1"/>
  <c r="E71" i="8"/>
  <c r="E70" i="8"/>
  <c r="E69" i="8"/>
  <c r="J88" i="8"/>
  <c r="F85" i="8"/>
  <c r="F87" i="8"/>
  <c r="F88" i="8" s="1"/>
  <c r="F89" i="8" s="1"/>
  <c r="F71" i="8"/>
  <c r="F73" i="8"/>
  <c r="F74" i="8" s="1"/>
  <c r="F75" i="8" s="1"/>
  <c r="F70" i="8"/>
  <c r="F72" i="8"/>
  <c r="F69" i="8"/>
  <c r="I72" i="8"/>
  <c r="I70" i="8"/>
  <c r="I73" i="8"/>
  <c r="I74" i="8" s="1"/>
  <c r="I75" i="8" s="1"/>
  <c r="I71" i="8"/>
  <c r="I69" i="8"/>
  <c r="I85" i="8"/>
  <c r="I87" i="8"/>
  <c r="I88" i="8" s="1"/>
  <c r="I89" i="8" s="1"/>
  <c r="J109" i="15"/>
  <c r="J106" i="15"/>
  <c r="J107" i="15"/>
  <c r="J105" i="15"/>
  <c r="F90" i="15"/>
  <c r="F108" i="15" s="1"/>
  <c r="F77" i="16"/>
  <c r="F106" i="16"/>
  <c r="F109" i="16"/>
  <c r="F86" i="16"/>
  <c r="F96" i="16"/>
  <c r="F99" i="16"/>
  <c r="F89" i="16"/>
  <c r="F98" i="16"/>
  <c r="F88" i="16"/>
  <c r="F108" i="16"/>
  <c r="I90" i="15"/>
  <c r="I113" i="15" s="1"/>
  <c r="I114" i="15" s="1"/>
  <c r="I115" i="15" s="1"/>
  <c r="I77" i="16"/>
  <c r="D90" i="15"/>
  <c r="D111" i="15" s="1"/>
  <c r="D77" i="16"/>
  <c r="G106" i="16"/>
  <c r="I88" i="16"/>
  <c r="E90" i="15"/>
  <c r="E109" i="15" s="1"/>
  <c r="E77" i="16"/>
  <c r="H90" i="15"/>
  <c r="H108" i="15" s="1"/>
  <c r="H77" i="16"/>
  <c r="E99" i="16"/>
  <c r="E86" i="16"/>
  <c r="E96" i="16"/>
  <c r="E109" i="16"/>
  <c r="E89" i="16"/>
  <c r="E106" i="16"/>
  <c r="E108" i="16"/>
  <c r="E88" i="16"/>
  <c r="E98" i="16"/>
  <c r="D89" i="16"/>
  <c r="G90" i="15"/>
  <c r="G111" i="15" s="1"/>
  <c r="G77" i="16"/>
  <c r="G110" i="15"/>
  <c r="G106" i="15"/>
  <c r="G109" i="15"/>
  <c r="G108" i="15"/>
  <c r="G105" i="15"/>
  <c r="G107" i="15"/>
  <c r="D110" i="15"/>
  <c r="D11" i="15" s="1"/>
  <c r="D107" i="15"/>
  <c r="D108" i="15"/>
  <c r="D105" i="15"/>
  <c r="D106" i="15"/>
  <c r="D109" i="15"/>
  <c r="J43" i="13"/>
  <c r="J42" i="15"/>
  <c r="I38" i="13"/>
  <c r="I42" i="13" s="1"/>
  <c r="I40" i="15"/>
  <c r="D38" i="13"/>
  <c r="D42" i="13" s="1"/>
  <c r="D40" i="15"/>
  <c r="D5" i="2"/>
  <c r="D6" i="1" s="1"/>
  <c r="G38" i="13"/>
  <c r="G42" i="13" s="1"/>
  <c r="G40" i="15"/>
  <c r="H40" i="15"/>
  <c r="H38" i="13"/>
  <c r="H42" i="13" s="1"/>
  <c r="F40" i="15"/>
  <c r="F48" i="15" s="1"/>
  <c r="F49" i="15" s="1"/>
  <c r="F50" i="15" s="1"/>
  <c r="F38" i="13"/>
  <c r="F42" i="13" s="1"/>
  <c r="E40" i="15"/>
  <c r="E48" i="15" s="1"/>
  <c r="E49" i="15" s="1"/>
  <c r="E50" i="15" s="1"/>
  <c r="E38" i="13"/>
  <c r="F4" i="13"/>
  <c r="D4" i="13"/>
  <c r="E4" i="13"/>
  <c r="G57" i="8"/>
  <c r="G4" i="8" s="1"/>
  <c r="E57" i="8"/>
  <c r="E4" i="8" s="1"/>
  <c r="H57" i="8"/>
  <c r="H4" i="8" s="1"/>
  <c r="F57" i="8"/>
  <c r="F4" i="8" s="1"/>
  <c r="E5" i="2"/>
  <c r="I4" i="8"/>
  <c r="D57" i="8"/>
  <c r="D4" i="8" s="1"/>
  <c r="D58" i="8"/>
  <c r="G54" i="8"/>
  <c r="F54" i="8"/>
  <c r="E54" i="8"/>
  <c r="I54" i="8"/>
  <c r="D54" i="8"/>
  <c r="H54" i="8"/>
  <c r="I71" i="2"/>
  <c r="I70" i="2" s="1"/>
  <c r="J73" i="2"/>
  <c r="F5" i="2"/>
  <c r="D70" i="2"/>
  <c r="H71" i="2"/>
  <c r="H70" i="2" s="1"/>
  <c r="G71" i="2"/>
  <c r="G70" i="2" s="1"/>
  <c r="J75" i="2"/>
  <c r="J76" i="2" s="1"/>
  <c r="C8" i="11"/>
  <c r="C9" i="11" s="1"/>
  <c r="F77" i="6" l="1"/>
  <c r="I77" i="6"/>
  <c r="F78" i="6"/>
  <c r="G77" i="6"/>
  <c r="J41" i="15"/>
  <c r="J48" i="15" s="1"/>
  <c r="J49" i="15" s="1"/>
  <c r="J50" i="15" s="1"/>
  <c r="J5" i="1"/>
  <c r="G82" i="6"/>
  <c r="G98" i="6"/>
  <c r="G90" i="6"/>
  <c r="D82" i="6"/>
  <c r="D90" i="6"/>
  <c r="D98" i="6"/>
  <c r="H82" i="6"/>
  <c r="H98" i="6"/>
  <c r="H90" i="6"/>
  <c r="F82" i="6"/>
  <c r="F90" i="6"/>
  <c r="F98" i="6"/>
  <c r="E82" i="6"/>
  <c r="E90" i="6"/>
  <c r="E98" i="6"/>
  <c r="J89" i="8"/>
  <c r="J59" i="8" s="1"/>
  <c r="J58" i="8"/>
  <c r="I82" i="6"/>
  <c r="I98" i="6"/>
  <c r="I90" i="6"/>
  <c r="D43" i="15"/>
  <c r="D48" i="15"/>
  <c r="J83" i="6"/>
  <c r="J84" i="6" s="1"/>
  <c r="H108" i="16"/>
  <c r="I91" i="6"/>
  <c r="I92" i="6" s="1"/>
  <c r="I11" i="17" s="1"/>
  <c r="I88" i="6"/>
  <c r="I80" i="6"/>
  <c r="I99" i="6"/>
  <c r="I100" i="6" s="1"/>
  <c r="I96" i="6"/>
  <c r="J101" i="6"/>
  <c r="J26" i="17"/>
  <c r="H97" i="6"/>
  <c r="H89" i="6"/>
  <c r="H81" i="6"/>
  <c r="G97" i="6"/>
  <c r="G81" i="6"/>
  <c r="G89" i="6"/>
  <c r="D89" i="6"/>
  <c r="D81" i="6"/>
  <c r="D97" i="6"/>
  <c r="F91" i="6"/>
  <c r="F92" i="6" s="1"/>
  <c r="F11" i="17" s="1"/>
  <c r="F99" i="6"/>
  <c r="F100" i="6" s="1"/>
  <c r="F88" i="6"/>
  <c r="F96" i="6"/>
  <c r="F80" i="6"/>
  <c r="H88" i="6"/>
  <c r="H99" i="6"/>
  <c r="H100" i="6" s="1"/>
  <c r="H80" i="6"/>
  <c r="H96" i="6"/>
  <c r="H91" i="6"/>
  <c r="H92" i="6" s="1"/>
  <c r="H11" i="17" s="1"/>
  <c r="E89" i="6"/>
  <c r="E97" i="6"/>
  <c r="E81" i="6"/>
  <c r="J93" i="6"/>
  <c r="G88" i="6"/>
  <c r="G80" i="6"/>
  <c r="G99" i="6"/>
  <c r="G100" i="6" s="1"/>
  <c r="G91" i="6"/>
  <c r="G92" i="6" s="1"/>
  <c r="G11" i="17" s="1"/>
  <c r="G96" i="6"/>
  <c r="D88" i="6"/>
  <c r="D91" i="6"/>
  <c r="D92" i="6" s="1"/>
  <c r="D11" i="17" s="1"/>
  <c r="D80" i="6"/>
  <c r="D96" i="6"/>
  <c r="D99" i="6"/>
  <c r="D100" i="6" s="1"/>
  <c r="F81" i="6"/>
  <c r="F89" i="6"/>
  <c r="F97" i="6"/>
  <c r="I81" i="6"/>
  <c r="I89" i="6"/>
  <c r="I97" i="6"/>
  <c r="E99" i="6"/>
  <c r="E100" i="6" s="1"/>
  <c r="E88" i="6"/>
  <c r="E96" i="6"/>
  <c r="E80" i="6"/>
  <c r="E91" i="6"/>
  <c r="E92" i="6" s="1"/>
  <c r="E11" i="17" s="1"/>
  <c r="H109" i="16"/>
  <c r="I106" i="16"/>
  <c r="H106" i="16"/>
  <c r="I96" i="16"/>
  <c r="H98" i="16"/>
  <c r="H96" i="16"/>
  <c r="I86" i="16"/>
  <c r="H88" i="16"/>
  <c r="H89" i="16"/>
  <c r="I108" i="16"/>
  <c r="I89" i="16"/>
  <c r="I99" i="16"/>
  <c r="J100" i="16"/>
  <c r="J101" i="16" s="1"/>
  <c r="J9" i="17" s="1"/>
  <c r="H86" i="16"/>
  <c r="D108" i="16"/>
  <c r="I98" i="16"/>
  <c r="G109" i="16"/>
  <c r="H11" i="1"/>
  <c r="H25" i="17"/>
  <c r="H10" i="17"/>
  <c r="D96" i="16"/>
  <c r="D99" i="16"/>
  <c r="G108" i="16"/>
  <c r="G96" i="16"/>
  <c r="G89" i="16"/>
  <c r="F110" i="16"/>
  <c r="F111" i="16" s="1"/>
  <c r="F112" i="16" s="1"/>
  <c r="E25" i="17"/>
  <c r="E10" i="17"/>
  <c r="E11" i="1"/>
  <c r="C10" i="11"/>
  <c r="E5" i="11"/>
  <c r="E13" i="1" s="1"/>
  <c r="I5" i="11"/>
  <c r="I13" i="1" s="1"/>
  <c r="D5" i="11"/>
  <c r="D13" i="1" s="1"/>
  <c r="F5" i="11"/>
  <c r="F13" i="1" s="1"/>
  <c r="J5" i="11"/>
  <c r="J13" i="1" s="1"/>
  <c r="G5" i="11"/>
  <c r="G13" i="1" s="1"/>
  <c r="H5" i="11"/>
  <c r="H13" i="1" s="1"/>
  <c r="C5" i="11"/>
  <c r="C13" i="1" s="1"/>
  <c r="D88" i="16"/>
  <c r="D86" i="16"/>
  <c r="D106" i="16"/>
  <c r="G98" i="16"/>
  <c r="G86" i="16"/>
  <c r="D98" i="16"/>
  <c r="G88" i="16"/>
  <c r="D112" i="15"/>
  <c r="D12" i="15"/>
  <c r="D13" i="15" s="1"/>
  <c r="J4" i="8"/>
  <c r="H113" i="15"/>
  <c r="H114" i="15" s="1"/>
  <c r="H115" i="15" s="1"/>
  <c r="H106" i="15"/>
  <c r="I106" i="15"/>
  <c r="H109" i="15"/>
  <c r="E106" i="15"/>
  <c r="H107" i="15"/>
  <c r="E105" i="15"/>
  <c r="E110" i="16"/>
  <c r="E111" i="16" s="1"/>
  <c r="E24" i="17" s="1"/>
  <c r="J110" i="15"/>
  <c r="J11" i="15" s="1"/>
  <c r="J112" i="16"/>
  <c r="H105" i="15"/>
  <c r="G113" i="15"/>
  <c r="G114" i="15" s="1"/>
  <c r="G115" i="15" s="1"/>
  <c r="E100" i="16"/>
  <c r="E101" i="16" s="1"/>
  <c r="E9" i="17" s="1"/>
  <c r="E108" i="15"/>
  <c r="E107" i="15"/>
  <c r="F106" i="15"/>
  <c r="F107" i="15"/>
  <c r="F109" i="15"/>
  <c r="F105" i="15"/>
  <c r="F100" i="16"/>
  <c r="F101" i="16" s="1"/>
  <c r="F9" i="17" s="1"/>
  <c r="I105" i="15"/>
  <c r="I107" i="15"/>
  <c r="J91" i="16"/>
  <c r="J4" i="16"/>
  <c r="F90" i="16"/>
  <c r="I108" i="15"/>
  <c r="I109" i="15"/>
  <c r="E90" i="16"/>
  <c r="F6" i="2"/>
  <c r="F5" i="17"/>
  <c r="F20" i="17"/>
  <c r="E6" i="2"/>
  <c r="E5" i="17"/>
  <c r="E20" i="17"/>
  <c r="D6" i="2"/>
  <c r="D20" i="17"/>
  <c r="D5" i="17"/>
  <c r="D44" i="15"/>
  <c r="G112" i="15"/>
  <c r="J43" i="15"/>
  <c r="J5" i="15" s="1"/>
  <c r="I43" i="13"/>
  <c r="F43" i="13"/>
  <c r="F5" i="13"/>
  <c r="D43" i="13"/>
  <c r="D5" i="13"/>
  <c r="D8" i="1" s="1"/>
  <c r="H43" i="13"/>
  <c r="G43" i="13"/>
  <c r="G43" i="15"/>
  <c r="G45" i="15"/>
  <c r="I45" i="15"/>
  <c r="I46" i="15" s="1"/>
  <c r="I47" i="15" s="1"/>
  <c r="H45" i="15"/>
  <c r="H46" i="15" s="1"/>
  <c r="H47" i="15" s="1"/>
  <c r="E42" i="13"/>
  <c r="F58" i="8"/>
  <c r="F59" i="8" s="1"/>
  <c r="I42" i="15"/>
  <c r="H42" i="15"/>
  <c r="E42" i="15"/>
  <c r="E4" i="15" s="1"/>
  <c r="F42" i="15"/>
  <c r="F4" i="15" s="1"/>
  <c r="J74" i="2"/>
  <c r="J39" i="13" s="1"/>
  <c r="J44" i="13" s="1"/>
  <c r="J40" i="13"/>
  <c r="E58" i="8"/>
  <c r="E5" i="8" s="1"/>
  <c r="G58" i="8"/>
  <c r="D59" i="8"/>
  <c r="D5" i="8"/>
  <c r="E6" i="1"/>
  <c r="I75" i="2"/>
  <c r="I76" i="2" s="1"/>
  <c r="I58" i="8"/>
  <c r="H58" i="8"/>
  <c r="F6" i="1"/>
  <c r="H73" i="2"/>
  <c r="G73" i="2"/>
  <c r="I73" i="2"/>
  <c r="H75" i="2"/>
  <c r="H76" i="2" s="1"/>
  <c r="J77" i="2"/>
  <c r="J5" i="2" s="1"/>
  <c r="J4" i="2"/>
  <c r="G75" i="2"/>
  <c r="G76" i="2" s="1"/>
  <c r="J4" i="15" l="1"/>
  <c r="H41" i="15"/>
  <c r="H48" i="15" s="1"/>
  <c r="H49" i="15" s="1"/>
  <c r="H50" i="15" s="1"/>
  <c r="H5" i="1"/>
  <c r="I41" i="15"/>
  <c r="I48" i="15" s="1"/>
  <c r="I49" i="15" s="1"/>
  <c r="I50" i="15" s="1"/>
  <c r="I5" i="1"/>
  <c r="G41" i="15"/>
  <c r="G48" i="15" s="1"/>
  <c r="G49" i="15" s="1"/>
  <c r="G50" i="15" s="1"/>
  <c r="G5" i="1"/>
  <c r="E83" i="6"/>
  <c r="E84" i="6" s="1"/>
  <c r="H4" i="15"/>
  <c r="J4" i="6"/>
  <c r="D83" i="6"/>
  <c r="D4" i="6" s="1"/>
  <c r="D4" i="15"/>
  <c r="D49" i="15"/>
  <c r="D50" i="15" s="1"/>
  <c r="I90" i="16"/>
  <c r="I4" i="16" s="1"/>
  <c r="H90" i="16"/>
  <c r="H4" i="16" s="1"/>
  <c r="I110" i="16"/>
  <c r="I111" i="16" s="1"/>
  <c r="I112" i="16" s="1"/>
  <c r="H83" i="6"/>
  <c r="H84" i="6" s="1"/>
  <c r="H110" i="16"/>
  <c r="H111" i="16" s="1"/>
  <c r="H24" i="17" s="1"/>
  <c r="J102" i="16"/>
  <c r="G110" i="16"/>
  <c r="G111" i="16" s="1"/>
  <c r="G24" i="17" s="1"/>
  <c r="F27" i="17"/>
  <c r="F12" i="17"/>
  <c r="I101" i="6"/>
  <c r="I26" i="17"/>
  <c r="H12" i="17"/>
  <c r="H27" i="17"/>
  <c r="D12" i="17"/>
  <c r="D27" i="17"/>
  <c r="G93" i="6"/>
  <c r="H26" i="17"/>
  <c r="H101" i="6"/>
  <c r="I83" i="6"/>
  <c r="C27" i="17"/>
  <c r="C12" i="17"/>
  <c r="G27" i="17"/>
  <c r="G12" i="17"/>
  <c r="I27" i="17"/>
  <c r="I12" i="17"/>
  <c r="G100" i="16"/>
  <c r="G101" i="16" s="1"/>
  <c r="G9" i="17" s="1"/>
  <c r="I100" i="16"/>
  <c r="I101" i="16" s="1"/>
  <c r="I102" i="16" s="1"/>
  <c r="E93" i="6"/>
  <c r="E101" i="6"/>
  <c r="E26" i="17"/>
  <c r="J85" i="6"/>
  <c r="J6" i="6" s="1"/>
  <c r="J5" i="6"/>
  <c r="J12" i="1" s="1"/>
  <c r="D93" i="6"/>
  <c r="G101" i="6"/>
  <c r="G26" i="17"/>
  <c r="H93" i="6"/>
  <c r="F101" i="6"/>
  <c r="F26" i="17"/>
  <c r="F24" i="17"/>
  <c r="J27" i="17"/>
  <c r="J12" i="17"/>
  <c r="E27" i="17"/>
  <c r="E12" i="17"/>
  <c r="D26" i="17"/>
  <c r="D101" i="6"/>
  <c r="G83" i="6"/>
  <c r="F83" i="6"/>
  <c r="F93" i="6"/>
  <c r="I93" i="6"/>
  <c r="D90" i="16"/>
  <c r="D4" i="16" s="1"/>
  <c r="G90" i="16"/>
  <c r="G4" i="16" s="1"/>
  <c r="D110" i="16"/>
  <c r="D111" i="16" s="1"/>
  <c r="D24" i="17" s="1"/>
  <c r="F6" i="11"/>
  <c r="J6" i="11"/>
  <c r="E6" i="11"/>
  <c r="G6" i="11"/>
  <c r="I6" i="11"/>
  <c r="D6" i="11"/>
  <c r="H6" i="11"/>
  <c r="C6" i="11"/>
  <c r="E112" i="16"/>
  <c r="D24" i="1"/>
  <c r="G11" i="15"/>
  <c r="G12" i="15"/>
  <c r="G13" i="15" s="1"/>
  <c r="H110" i="15"/>
  <c r="H11" i="15" s="1"/>
  <c r="J6" i="8"/>
  <c r="J5" i="8"/>
  <c r="J111" i="15"/>
  <c r="E102" i="16"/>
  <c r="E110" i="15"/>
  <c r="E11" i="15" s="1"/>
  <c r="F102" i="16"/>
  <c r="I110" i="15"/>
  <c r="I11" i="15" s="1"/>
  <c r="F110" i="15"/>
  <c r="F11" i="15" s="1"/>
  <c r="E91" i="16"/>
  <c r="E4" i="16"/>
  <c r="F91" i="16"/>
  <c r="F4" i="16"/>
  <c r="J92" i="16"/>
  <c r="J6" i="16" s="1"/>
  <c r="J5" i="16"/>
  <c r="J10" i="1" s="1"/>
  <c r="J6" i="2"/>
  <c r="J5" i="17"/>
  <c r="J20" i="17"/>
  <c r="D6" i="13"/>
  <c r="D22" i="17"/>
  <c r="D7" i="17"/>
  <c r="D21" i="17"/>
  <c r="D6" i="17"/>
  <c r="E21" i="17"/>
  <c r="E6" i="17"/>
  <c r="F6" i="13"/>
  <c r="F7" i="17"/>
  <c r="F22" i="17"/>
  <c r="E43" i="15"/>
  <c r="E5" i="15" s="1"/>
  <c r="G44" i="15"/>
  <c r="F5" i="8"/>
  <c r="F7" i="1" s="1"/>
  <c r="H43" i="15"/>
  <c r="H5" i="15" s="1"/>
  <c r="G46" i="15"/>
  <c r="G47" i="15" s="1"/>
  <c r="F43" i="15"/>
  <c r="F5" i="15" s="1"/>
  <c r="I43" i="15"/>
  <c r="I5" i="15" s="1"/>
  <c r="J44" i="15"/>
  <c r="F8" i="1"/>
  <c r="E43" i="13"/>
  <c r="E5" i="13"/>
  <c r="E59" i="8"/>
  <c r="I77" i="2"/>
  <c r="I40" i="13"/>
  <c r="I74" i="2"/>
  <c r="I39" i="13" s="1"/>
  <c r="I44" i="13" s="1"/>
  <c r="H40" i="13"/>
  <c r="H74" i="2"/>
  <c r="H39" i="13" s="1"/>
  <c r="H44" i="13" s="1"/>
  <c r="G74" i="2"/>
  <c r="G39" i="13" s="1"/>
  <c r="G44" i="13" s="1"/>
  <c r="G40" i="13"/>
  <c r="J45" i="13"/>
  <c r="J4" i="13"/>
  <c r="D6" i="8"/>
  <c r="D7" i="1"/>
  <c r="G77" i="2"/>
  <c r="G5" i="2" s="1"/>
  <c r="I59" i="8"/>
  <c r="I5" i="8"/>
  <c r="H59" i="8"/>
  <c r="H5" i="8"/>
  <c r="H77" i="2"/>
  <c r="H78" i="2" s="1"/>
  <c r="E6" i="8"/>
  <c r="E7" i="1"/>
  <c r="G59" i="8"/>
  <c r="G5" i="8"/>
  <c r="H4" i="2"/>
  <c r="I4" i="2"/>
  <c r="G4" i="2"/>
  <c r="J78" i="2"/>
  <c r="J6" i="1"/>
  <c r="C23" i="5"/>
  <c r="E4" i="6" l="1"/>
  <c r="G102" i="16"/>
  <c r="I4" i="15"/>
  <c r="D84" i="6"/>
  <c r="D5" i="6" s="1"/>
  <c r="D12" i="1" s="1"/>
  <c r="H91" i="16"/>
  <c r="H92" i="16" s="1"/>
  <c r="G4" i="15"/>
  <c r="I24" i="17"/>
  <c r="G112" i="16"/>
  <c r="I91" i="16"/>
  <c r="I5" i="16" s="1"/>
  <c r="I10" i="1" s="1"/>
  <c r="D5" i="15"/>
  <c r="G5" i="15"/>
  <c r="G6" i="15" s="1"/>
  <c r="H112" i="16"/>
  <c r="H4" i="6"/>
  <c r="I9" i="17"/>
  <c r="D91" i="16"/>
  <c r="D5" i="16" s="1"/>
  <c r="D10" i="1" s="1"/>
  <c r="F4" i="6"/>
  <c r="F84" i="6"/>
  <c r="H5" i="6"/>
  <c r="H12" i="1" s="1"/>
  <c r="H85" i="6"/>
  <c r="H6" i="6" s="1"/>
  <c r="I4" i="6"/>
  <c r="I84" i="6"/>
  <c r="G4" i="6"/>
  <c r="G84" i="6"/>
  <c r="E85" i="6"/>
  <c r="E6" i="6" s="1"/>
  <c r="E5" i="6"/>
  <c r="E12" i="1" s="1"/>
  <c r="G24" i="1"/>
  <c r="D112" i="16"/>
  <c r="G91" i="16"/>
  <c r="J112" i="15"/>
  <c r="J12" i="15"/>
  <c r="J13" i="15" s="1"/>
  <c r="H111" i="15"/>
  <c r="J21" i="17"/>
  <c r="J6" i="17"/>
  <c r="J7" i="1"/>
  <c r="C24" i="5"/>
  <c r="E111" i="15"/>
  <c r="H5" i="16"/>
  <c r="H10" i="1" s="1"/>
  <c r="I111" i="15"/>
  <c r="F111" i="15"/>
  <c r="D92" i="16"/>
  <c r="F92" i="16"/>
  <c r="F6" i="16" s="1"/>
  <c r="F5" i="16"/>
  <c r="F10" i="1" s="1"/>
  <c r="H100" i="16"/>
  <c r="H101" i="16" s="1"/>
  <c r="H6" i="16"/>
  <c r="E92" i="16"/>
  <c r="E6" i="16" s="1"/>
  <c r="E5" i="16"/>
  <c r="E10" i="1" s="1"/>
  <c r="J8" i="17"/>
  <c r="J23" i="17"/>
  <c r="H21" i="17"/>
  <c r="H6" i="17"/>
  <c r="E22" i="17"/>
  <c r="E7" i="17"/>
  <c r="F6" i="8"/>
  <c r="F6" i="17"/>
  <c r="F21" i="17"/>
  <c r="G6" i="2"/>
  <c r="G20" i="17"/>
  <c r="G5" i="17"/>
  <c r="G6" i="17"/>
  <c r="G21" i="17"/>
  <c r="I21" i="17"/>
  <c r="I6" i="17"/>
  <c r="J9" i="1"/>
  <c r="J6" i="15"/>
  <c r="I44" i="15"/>
  <c r="H44" i="15"/>
  <c r="F44" i="15"/>
  <c r="E44" i="15"/>
  <c r="E6" i="13"/>
  <c r="E8" i="1"/>
  <c r="J46" i="13"/>
  <c r="J5" i="13"/>
  <c r="I4" i="13"/>
  <c r="G45" i="13"/>
  <c r="G4" i="13"/>
  <c r="I45" i="13"/>
  <c r="H45" i="13"/>
  <c r="H4" i="13"/>
  <c r="H5" i="2"/>
  <c r="G6" i="8"/>
  <c r="G7" i="1"/>
  <c r="H6" i="8"/>
  <c r="H7" i="1"/>
  <c r="I7" i="1"/>
  <c r="I6" i="8"/>
  <c r="I5" i="2"/>
  <c r="I78" i="2"/>
  <c r="G78" i="2"/>
  <c r="G6" i="1"/>
  <c r="D85" i="6" l="1"/>
  <c r="D6" i="6" s="1"/>
  <c r="C25" i="5"/>
  <c r="C5" i="5"/>
  <c r="I92" i="16"/>
  <c r="I6" i="16" s="1"/>
  <c r="D23" i="17"/>
  <c r="D9" i="1"/>
  <c r="D8" i="17"/>
  <c r="D6" i="15"/>
  <c r="I85" i="6"/>
  <c r="I6" i="6" s="1"/>
  <c r="I5" i="6"/>
  <c r="I12" i="1" s="1"/>
  <c r="F5" i="6"/>
  <c r="F12" i="1" s="1"/>
  <c r="F85" i="6"/>
  <c r="F6" i="6" s="1"/>
  <c r="G85" i="6"/>
  <c r="G6" i="6" s="1"/>
  <c r="G5" i="6"/>
  <c r="G12" i="1" s="1"/>
  <c r="G5" i="16"/>
  <c r="G10" i="1" s="1"/>
  <c r="G92" i="16"/>
  <c r="G6" i="16" s="1"/>
  <c r="I112" i="15"/>
  <c r="I12" i="15"/>
  <c r="I24" i="1" s="1"/>
  <c r="E112" i="15"/>
  <c r="E12" i="15"/>
  <c r="E13" i="15" s="1"/>
  <c r="H112" i="15"/>
  <c r="H12" i="15"/>
  <c r="H13" i="15" s="1"/>
  <c r="F112" i="15"/>
  <c r="F12" i="15"/>
  <c r="F24" i="1" s="1"/>
  <c r="J24" i="1"/>
  <c r="H102" i="16"/>
  <c r="H9" i="17"/>
  <c r="D100" i="16"/>
  <c r="D101" i="16" s="1"/>
  <c r="D6" i="16"/>
  <c r="I5" i="17"/>
  <c r="I20" i="17"/>
  <c r="F8" i="17"/>
  <c r="F14" i="17" s="1"/>
  <c r="F23" i="17"/>
  <c r="F29" i="17" s="1"/>
  <c r="H23" i="17"/>
  <c r="H8" i="17"/>
  <c r="I23" i="17"/>
  <c r="I8" i="17"/>
  <c r="H20" i="17"/>
  <c r="H5" i="17"/>
  <c r="J8" i="1"/>
  <c r="J22" i="17"/>
  <c r="J29" i="17" s="1"/>
  <c r="J7" i="17"/>
  <c r="J14" i="17" s="1"/>
  <c r="E23" i="17"/>
  <c r="E29" i="17" s="1"/>
  <c r="E8" i="17"/>
  <c r="E14" i="17" s="1"/>
  <c r="G9" i="1"/>
  <c r="G8" i="17"/>
  <c r="G23" i="17"/>
  <c r="J15" i="1"/>
  <c r="E9" i="1"/>
  <c r="E15" i="1" s="1"/>
  <c r="E6" i="15"/>
  <c r="F9" i="1"/>
  <c r="F6" i="15"/>
  <c r="H9" i="1"/>
  <c r="H6" i="15"/>
  <c r="I9" i="1"/>
  <c r="I6" i="15"/>
  <c r="H46" i="13"/>
  <c r="H5" i="13"/>
  <c r="J6" i="13"/>
  <c r="I46" i="13"/>
  <c r="I5" i="13"/>
  <c r="G46" i="13"/>
  <c r="G5" i="13"/>
  <c r="H6" i="2"/>
  <c r="H6" i="1"/>
  <c r="I6" i="2"/>
  <c r="I6" i="1"/>
  <c r="C25" i="17" l="1"/>
  <c r="C29" i="17" s="1"/>
  <c r="C10" i="17"/>
  <c r="C14" i="17" s="1"/>
  <c r="C11" i="1"/>
  <c r="C15" i="1" s="1"/>
  <c r="C20" i="5"/>
  <c r="C6" i="5"/>
  <c r="F15" i="1"/>
  <c r="H24" i="1"/>
  <c r="I13" i="15"/>
  <c r="E24" i="1"/>
  <c r="F13" i="15"/>
  <c r="D102" i="16"/>
  <c r="D9" i="17"/>
  <c r="G8" i="1"/>
  <c r="G7" i="17"/>
  <c r="G22" i="17"/>
  <c r="H6" i="13"/>
  <c r="H7" i="17"/>
  <c r="H14" i="17" s="1"/>
  <c r="H22" i="17"/>
  <c r="H29" i="17" s="1"/>
  <c r="I6" i="13"/>
  <c r="I22" i="17"/>
  <c r="I29" i="17" s="1"/>
  <c r="I7" i="17"/>
  <c r="I14" i="17" s="1"/>
  <c r="I8" i="1"/>
  <c r="I15" i="1" s="1"/>
  <c r="H8" i="1"/>
  <c r="H15" i="1" s="1"/>
  <c r="G6" i="13"/>
  <c r="G63" i="5" l="1"/>
  <c r="D63" i="5"/>
  <c r="D64" i="5" l="1"/>
  <c r="D4" i="5" s="1"/>
  <c r="D66" i="5"/>
  <c r="D6" i="5" s="1"/>
  <c r="D65" i="5"/>
  <c r="D5" i="5" s="1"/>
  <c r="G64" i="5"/>
  <c r="G4" i="5" s="1"/>
  <c r="G66" i="5"/>
  <c r="G6" i="5" s="1"/>
  <c r="G65" i="5"/>
  <c r="G5" i="5" s="1"/>
  <c r="D25" i="17" l="1"/>
  <c r="D29" i="17" s="1"/>
  <c r="D10" i="17"/>
  <c r="D14" i="17" s="1"/>
  <c r="D11" i="1"/>
  <c r="D15" i="1" s="1"/>
  <c r="G10" i="17"/>
  <c r="G14" i="17" s="1"/>
  <c r="G25" i="17"/>
  <c r="G29" i="17" s="1"/>
  <c r="G11" i="1"/>
  <c r="G15" i="1" s="1"/>
</calcChain>
</file>

<file path=xl/comments1.xml><?xml version="1.0" encoding="utf-8"?>
<comments xmlns="http://schemas.openxmlformats.org/spreadsheetml/2006/main">
  <authors>
    <author>Author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*Az Össz. létszám a teljes, bv. intézetekben elhelyezett fogvatartotti létszám, amely magában foglalja a jogerősen elítélteket, a nem jogerősen elítélteket és előzetesen letartóztatottakat, a büntetőjogi, pénzbírság helyetti és egyéb jogcímen elzárásra ítélteket és a kényszergyógykezelésre utalt fogvatartottakat is, ezért a jogerősen elítéltek illetve az előzetesen letartóztatottak létszámának összege nem egyezik az össz. létszámmal.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 2001 - 2007: http://www.ksh.hu/docs/hun/xstadat/xstadat_eves/i_qse001.html
2008 - 2013: http://www.ksh.hu/docs/hun/xstadat/xstadat_eves/i_qse003.html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 2001 - 2007: http://www.ksh.hu/docs/hun/xstadat/xstadat_eves/i_qse001.html
2008 - 2013: http://www.ksh.hu/docs/hun/xstadat/xstadat_eves/i_qse003.html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
Schmidt és Witte, 1984: 700-1500
Trumbull és Witte, 1981: 1000-1600
Tiszalök: 700
Szombathely: 800
azért van fordítva az alsó és felső határ, mert azt vesszük alsó határnak, ami kisebb költséget eredményez, márpedig, ha nem kell börtönt építeni az kisebb költséget eredményez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 
Guide to Cost Benefit Analysis of Investment Projects, Annex B, European Commission
http://ec.europa.eu/regional_policy/sources/docgener/guides/cost/guide2008_en.pdf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Összehasonlításként:
6/1996. (VII. 12.) IM rendelet a szabadságvesztés és az előzetes letartóztatás végrehajtásának szabályairól - 135.§:
- ffi: 3 nm/fő
- nő és fk: 3,5 nm/fő
- előzetes: 4 nm/fő
de ezek nettó területként értendőek, tehát ágy, szekrény nincs benne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mostani átlag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 2001 - 2007: http://www.ksh.hu/docs/hun/xstadat/xstadat_eves/i_qse001.html
2008 - 2013: http://www.ksh.hu/docs/hun/xstadat/xstadat_eves/i_qse003.html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
Schmidt és Witte, 1984: 700-1500
Trumbull és Witte, 1981: 1000-1600
Tiszalök: 700
Szombathely: 800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egyelőre a PPP beruházásokból fakad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feltesszük, hogy csak akkor építenek börtönt ha van ennyi új rab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Jóhiszeműen feltesszük, hogy tervezéskor az eredeti kapacitással számolnak és ideális zárkaméretekkel. Nem eleve túlzsúfoltságra tervezik az intézeteket.
Összehasonlításként:
6/1996. (VII. 12.) IM rendelet a szabadságvesztés és az előzetes letartóztatás végrehajtásának szabályairól - 135.§:
- ffi: 3 nm/fő
- nő és fk: 3,5 nm/fő
- előzetes: 4 nm/fő
de ezek nettó területként értendőek, tehát ágy, szekrény nincs benne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Jóhiszeműen feltesszük, hogy tervezéskor az eredeti kapacitással számolnak és ideális zárkaméretekkel. Nem eleve túlzsúfoltságra tervezik az intézeteket.
Összehasonlításként:
6/1996. (VII. 12.) IM rendelet a szabadságvesztés és az előzetes letartóztatás végrehajtásának szabályairól - 135.§:
- ffi: 3 nm/fő
- nő és fk: 3,5 nm/fő
- előzetes: 4 nm/fő
de ezek nettó területként értendőek, tehát ágy, szekrény nincs benne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Ez a lineráis feltevés problémás lehet, valószínűleg a terület tekintetében van egy fix terület, ami mellé lehet viszonylag korlátalnul új zárkákat építeni.
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új intézetben elhelyezett fogvatartottakra vetítve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Itt kiszámoltam azt, hogy (új férőhelyek)*(egy főre jutó ideális nm)*(együttható a nettó ás bruttó átváltás között) --&gt; ugyanazt az együtthatót vettem, mint amikor az épített börtönterületet számítom ki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új férőhelyeken elhelyezett fogvatartottakra vetítve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2010-2013 éve átlagait vettük alapul
számolás a 4.pont összeszedve jav_liliszerk-xls-ben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 2000- : https://www.ksh.hu/docs/hun/xstadat/xstadat_eves/i_qsf005.html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
Schmidt és Witte, 1984: 700-1500
Trumbull és Witte, 1981: 1000-1600
Tiszalök: 700
Szombathely: 800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 épület napi karbantartása
- tervszerű megelőző karbantartás
- informatikai, biztonságtechnikai eszközök karbantartása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 karbantartás és javítás (ingatlan TMK)
- felújítások 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 a terület nagyobb mint amely értéknél a terület szerinti maximumát veszi fel a függvény, akkor is ezzel a maximum területtel számolunk, mert irreális, hogy a karb. Összeg csökkenne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Tiszalök és Szombathely nélkül
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 a terület nagyobb mint amely értéknél a terület szerinti maximumát veszi fel a függvény, akkor is ezzel a maximum területtel számolunk, mert irreális, hogy a karb. Összeg csökkenne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Tiszalök és Szombathely nélkül
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 a terület nagyobb mint amely értéknél a terület szerinti maximumát veszi fel a függvény, akkor is ezzel a maximum területtel számolunk, mert irreális, hogy a karb. Összeg csökkenne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Tiszalök és Szombathely nélkül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Tiszalök és Szombathely nélkül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egyelőre amit Áron mondott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 2001 - 2007: http://www.ksh.hu/docs/hun/xstadat/xstadat_eves/i_qse001.html
2008 - 2013: http://www.ksh.hu/docs/hun/xstadat/xstadat_eves/i_qse003.html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
Schmidt és Witte, 1984: 700-1500
Trumbull és Witte, 1981: 1000-1600
Tiszalök: 700
Szombathely: 800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 a terület nagyobb mint amely értéknél a terület szerinti maximumát veszi fel a függvény, akkor is ezzel a maximum területtel számolunk, mert irreális, hogy a karb. Összeg csökkenne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 a terület nagyobb mint amely értéknél a terület szerinti maximumát veszi fel a függvény, akkor is ezzel a maximum területtel számolunk, mert irreális, hogy a karb. Összeg csökkenne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egyelőre amit Áron mondott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
Schmidt és Witte, 1984: 700-1500
Trumbull és Witte, 1981: 1000-1600
Tiszalök: 700
Szombathely: 800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6% és 10% fluktuációnak megfeleltetve
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Intézetek közti minimum: 6
De a legkisebb intézetben: 10
A kettő átlagát vettem: 8
Logika: bizonyos mértékben helyettesítők lehetnek a különböző poziban levő emberek, tehát lehet, hogy valahol egy kicsit több tiszt van, de kevesebb közalkalmazott, vagy fordítva.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Leosztom 0.65-tel, mert amit bottom-up kiszámolok az csak a rendfokozati és a beosztási illetmények (kiegészítéseket és pótlékokat nehéz lenne, mert nincs olyan részletességű adat a személyzetről).
Viszont a kiszámolt tétel nagyjából állandó 62-69%-át teszi ki a bérköltségnek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Leosztom 0.65-tel, mert amit bottom-up kiszámolok az csak a rendfokozati és a beosztási illetmények (kiegészítéseket és pótlékokat nehéz lenne, mert nincs olyan részletességű adat a személyzetről).
Viszont a kiszámolt tétel nagyjából állandó 62-69%-át teszi ki a bérköltségnek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Egyszerű regressziók alapján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Adható max és min beosztási és rendfokozati illetmény alapján - tehát nem a konfideciaintervallum végei alapján
új tagoknál a minimumot feltételezzük, mert pályakezdők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Ezt vehetjük az "egy őrre jutó rabok" számának - amit változtatható paraméternek meghagytunk ebben a számítási módszerben.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interjúk alapján
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ezt vehetjük az "egy őrre jutó rabok" számának - amit szeretnénk változtatható paraméternek meghagyni - ezt még be kell építeni valahogy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ezt vehetjük az "egy őrre jutó rabok" számának - amit szeretnénk változtatható paraméternek meghagyni - ezt még be kell építeni valahogy</t>
        </r>
      </text>
    </comment>
    <comment ref="B10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ezt vehetjük az "egy őrre jutó rabok" számának - amit szeretnénk változtatható paraméternek meghagyni - ezt még be kell építeni valahogy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egyelőre amit Áron mondott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*Az Össz. létszám a teljes, bv. intézetekben elhelyezett fogvatartotti létszám, amely magában foglalja a jogerősen elítélteket, a nem jogerősen elítélteket és előzetesen letartóztatottakat, a büntetőjogi, pénzbírság helyetti és egyéb jogcímen elzárásra ítélteket és a kényszergyógykezelésre utalt fogvatartottakat is, ezért a jogerősen elítéltek illetve az előzetesen letartóztatottak létszámának összege nem egyezik az össz. létszámmal.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
Schmidt és Witte, 1984: 700-1500
Trumbull és Witte, 1981: 1000-1600
Tiszalök: 700
Szombathely: 800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Feltesszük, hogy az első felszerelést 10 évig lehet használni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Ezen változók alapján számolunk egységköltséget, hogy a fogvatartotti létszámnövekedéshez tudjuk rendelni az értékeket
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Szerződésben nincs megadva összeg, szombathelyit feltételeztem itt is.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feltesszük, hogy 10 évig lehet használni az első felszerelést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reg hr_letszam letszam --&gt; hr_letszam=31.42+0.345*letszam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 a terület nagyobb mint amely értéknél a terület szerinti maximumát veszi fel a függvény, akkor is ezzel a maximum területtel számolunk, mert irreális, hogy a karb. Összeg csökkenne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reg hr_letszam letszam --&gt; hr_letszam=31.42+0.345*letszam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reg hr_letszam letszam --&gt; hr_letszam=31.42+0.345*letszam</t>
        </r>
      </text>
    </comment>
  </commentList>
</comments>
</file>

<file path=xl/comments7.xml><?xml version="1.0" encoding="utf-8"?>
<comments xmlns="http://schemas.openxmlformats.org/spreadsheetml/2006/main">
  <authors>
    <author>Author</author>
    <author>Szerző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Fejenként kevesebbre jön ki mint az alapnorma. Ez megtévesztő lehet, mert az év során van ingadozás a fogvatartottak számában.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 http://vastagbor.atlatszo.hu/2014/09/11/nem-tudja-az-allam-hogy-mennyit-koltenek-a-korhazai-elelmezesre-de-a-rabokra-kevesebb-jut-mint-a-betegekre/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előzetesben levő fiatalok száma</t>
        </r>
      </text>
    </comment>
    <comment ref="B47" authorId="1" shapeId="0">
      <text>
        <r>
          <rPr>
            <b/>
            <sz val="9"/>
            <color indexed="81"/>
            <rFont val="Tahoma"/>
            <family val="2"/>
          </rPr>
          <t xml:space="preserve">Lili Márk
</t>
        </r>
        <r>
          <rPr>
            <sz val="9"/>
            <color indexed="81"/>
            <rFont val="Tahoma"/>
            <family val="2"/>
          </rPr>
          <t>Mindenből a felső határt vesszük. Feltételezzük, hogy mki aki dolgozik középnehéz munkát végez, hogy a maximális élelmezési normát kapjuk meg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=jogerősen elítélt fiatalok száma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Büntetés-végrehajtás Központi Kórházban levőkkel számolunk (Tököl)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 két érték összege legyen 100%
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forrás: BI egységköltség számítás tanulmány
</t>
        </r>
      </text>
    </comment>
  </commentList>
</comments>
</file>

<file path=xl/sharedStrings.xml><?xml version="1.0" encoding="utf-8"?>
<sst xmlns="http://schemas.openxmlformats.org/spreadsheetml/2006/main" count="1210" uniqueCount="445">
  <si>
    <t>Diszkontráta</t>
  </si>
  <si>
    <t>Változatlan</t>
  </si>
  <si>
    <t>Szcenáriók</t>
  </si>
  <si>
    <t>Telítettség</t>
  </si>
  <si>
    <t>Fogvatartottak száma jelenleg</t>
  </si>
  <si>
    <t>Személyzet</t>
  </si>
  <si>
    <t>Dologi költségek</t>
  </si>
  <si>
    <t>Összesen</t>
  </si>
  <si>
    <t>Üzemméret</t>
  </si>
  <si>
    <t>Férőhelyek száma jelenleg</t>
  </si>
  <si>
    <t>Jelenleg</t>
  </si>
  <si>
    <t xml:space="preserve">Fogvatartottak számának növekedése </t>
  </si>
  <si>
    <t>Perköltség</t>
  </si>
  <si>
    <t>Vásárolt élelmezés</t>
  </si>
  <si>
    <t>Fogvatartottak élelmiszer külső besz. kiadási ei. teljesítése</t>
  </si>
  <si>
    <t>Közös üzemeltetésű konyha élelmiszer külső besz. kiadási ei. t</t>
  </si>
  <si>
    <t>Személyi állomány élelmiszer Bv-s Kft-től besz. kiadási ei. tljesítés</t>
  </si>
  <si>
    <t>Közös üzemeltetésű konyha élelmiszer Bv-s Kft-től besz. kiadási ei. t</t>
  </si>
  <si>
    <t>Fogvatartottak élelmiszer Bv-s Kft-től besz. kiadási ei. teljesítése</t>
  </si>
  <si>
    <t>Személyi állomány élelmiszer külső besz. kiadási ei. Tljesítés</t>
  </si>
  <si>
    <t>Kisértékű tárgyi eszközök, szellemi termékek beszerzése</t>
  </si>
  <si>
    <t>Kisgép, műszer beszerzés kiadási ei. teljesítése</t>
  </si>
  <si>
    <t>Bútor, berendezés, felszerelés beszerzés kiadási ei. teljesí</t>
  </si>
  <si>
    <t>Labor és egészségügyi eszközök beszerzés kiadási ei. teljesí</t>
  </si>
  <si>
    <t>Biztonságtechnikai eszközök beszerzés kiadási ei. teljesí</t>
  </si>
  <si>
    <t>Munkaruha,védőruha,formaruha,egyenruha beszerzés</t>
  </si>
  <si>
    <t>Textiliák beszerzés kiadás ei. Telj.</t>
  </si>
  <si>
    <t>Tisztitó- és tisztálkodószerek beszerzés kiadás ei. telj.</t>
  </si>
  <si>
    <t>Hajtó- és kenőanyag beszerzés</t>
  </si>
  <si>
    <t>Szakmai anyag beszerzés</t>
  </si>
  <si>
    <t>Fogvatartottakkal kapcsolatos egyéb anyagbesz.kiadás ei. tel</t>
  </si>
  <si>
    <t>Személyi állománnyal kapcs. egyéb anyagbesz. kiadás ei. telj</t>
  </si>
  <si>
    <t>Szolgálati kutyával kapcs. anyagok beszerzés kiadás ei. telj</t>
  </si>
  <si>
    <t>Kézi szerszámok, munkaeszközök beszerzés kiadási ei. teljesí</t>
  </si>
  <si>
    <t>Éves költség</t>
  </si>
  <si>
    <t>Forrás</t>
  </si>
  <si>
    <t>Tétel</t>
  </si>
  <si>
    <t>Fix paraméterek</t>
  </si>
  <si>
    <t>Változtatható paraméterek</t>
  </si>
  <si>
    <t>Élelmezés költsége / fő / év</t>
  </si>
  <si>
    <t>Élelmezés éves költsége</t>
  </si>
  <si>
    <t>Élelmezés költsége / fő / nap</t>
  </si>
  <si>
    <t>BVOP aggr</t>
  </si>
  <si>
    <t>Gépjármű javítási, karbantartási költségek</t>
  </si>
  <si>
    <t>Orvosi rendelésen való megjelenések 2013-ban</t>
  </si>
  <si>
    <t>Külső fekvőbeteg egészségügyi ellátó intézményben töltött napok száma 2013-ban</t>
  </si>
  <si>
    <t xml:space="preserve">294 eset </t>
  </si>
  <si>
    <t xml:space="preserve">573 ápolási nap </t>
  </si>
  <si>
    <t>Külső járóbeteg egészségügyi ellátó intézményben ellátott esetek száma 2013-ban</t>
  </si>
  <si>
    <t>Gyógyszer- és vegyszerbeszerzés kiadási előirányzat teljesítése</t>
  </si>
  <si>
    <t>Fogvatartotti térítés</t>
  </si>
  <si>
    <t>Gyógyszerek éves költsége</t>
  </si>
  <si>
    <t>Gyógyszerek költsége / fő / év</t>
  </si>
  <si>
    <t>Gyógyszerek költsége / fő / nap</t>
  </si>
  <si>
    <t>Alsó határ</t>
  </si>
  <si>
    <t>Felső határ</t>
  </si>
  <si>
    <t>Output változó</t>
  </si>
  <si>
    <t>Személyzet éves költsége</t>
  </si>
  <si>
    <t>Személyzet költsége / fő / nap</t>
  </si>
  <si>
    <t>?</t>
  </si>
  <si>
    <t>Választott érték</t>
  </si>
  <si>
    <t>Alsó becslés a kapott adatokból</t>
  </si>
  <si>
    <t>Élelmezési nettó alapnorma / fő</t>
  </si>
  <si>
    <t>Felső becslés a hivatalos pénznormákból</t>
  </si>
  <si>
    <t>Kiegészítő normák felső becslése</t>
  </si>
  <si>
    <t>Nem dolgozó fiatalkorúak</t>
  </si>
  <si>
    <t>Csoport</t>
  </si>
  <si>
    <t>Kiegészítő norma</t>
  </si>
  <si>
    <t>Könnyű testi munkát végzők</t>
  </si>
  <si>
    <t>Könnyű testi munkát végző fiatalkorúak</t>
  </si>
  <si>
    <t>Középnehéz testi munkát végzők</t>
  </si>
  <si>
    <t>Középnehéz testi munkát végző fiatalkorúak</t>
  </si>
  <si>
    <t>Vallási pótlék</t>
  </si>
  <si>
    <t>Hideg csomag</t>
  </si>
  <si>
    <t>Terhes anyák pótléka</t>
  </si>
  <si>
    <t>Mezőgazdasági pótlék</t>
  </si>
  <si>
    <t>Védőital</t>
  </si>
  <si>
    <t>Érintett fő (becslés)</t>
  </si>
  <si>
    <t xml:space="preserve">Jogerősen elítélt fiatalkorúak száma </t>
  </si>
  <si>
    <t>Előzetes letartóztatásban levő fiatalkorúak száma</t>
  </si>
  <si>
    <t>Kórházban ápoltak ls bv. Intézeti gyógyélelmezésben részesülők</t>
  </si>
  <si>
    <t>ÖSSZESEN</t>
  </si>
  <si>
    <t>Napi költség</t>
  </si>
  <si>
    <t>Átlagos állományi létszám - gazdasági társaságoknál - 2013</t>
  </si>
  <si>
    <t>Becsléshez használt adatok</t>
  </si>
  <si>
    <t>Élelmezés éves költsége (alapnorma + pótlékok)</t>
  </si>
  <si>
    <t>Min</t>
  </si>
  <si>
    <t>Max</t>
  </si>
  <si>
    <t>Konstans</t>
  </si>
  <si>
    <t>Együttható</t>
  </si>
  <si>
    <t>Rövid távú változó költség: Új rabok számának függvényében</t>
  </si>
  <si>
    <t>Fizetendő beosztási és rendfokozat illetmény - min</t>
  </si>
  <si>
    <t>Fizetendő beosztási és rendfokozat illetmény - max</t>
  </si>
  <si>
    <t>Létszám</t>
  </si>
  <si>
    <t>Építés</t>
  </si>
  <si>
    <t>Élelmezés</t>
  </si>
  <si>
    <t>Intézetek karbantartása</t>
  </si>
  <si>
    <t>Intézetek üzemeltetése (rezsi)</t>
  </si>
  <si>
    <t>Egészségügyi kiadások</t>
  </si>
  <si>
    <t>Ideális</t>
  </si>
  <si>
    <t>Tiszalök</t>
  </si>
  <si>
    <t>Szombathely</t>
  </si>
  <si>
    <t>Építési adatok</t>
  </si>
  <si>
    <t>Kapacitás</t>
  </si>
  <si>
    <t>Nm - nettó</t>
  </si>
  <si>
    <t>Nm - bruttó</t>
  </si>
  <si>
    <t>Karbantartás - amortizáció</t>
  </si>
  <si>
    <t>Építési  költség / bruttó nm</t>
  </si>
  <si>
    <t>Összköltség (Tervezés és kivitelezés)</t>
  </si>
  <si>
    <t>Ép. Éve</t>
  </si>
  <si>
    <t>Szükséges új börtönök száma</t>
  </si>
  <si>
    <t>Egy főre jutó bruttó zárkaterület (nm / fogvatartottak száma)</t>
  </si>
  <si>
    <t>Választott</t>
  </si>
  <si>
    <t>Bv. Intézet építésének éves költsége</t>
  </si>
  <si>
    <t>Bv. Intézet építésének éves költsége / fő</t>
  </si>
  <si>
    <t>Bv. Intézet építésének költsége / fő / nap</t>
  </si>
  <si>
    <t>Építőipari költségalapú árindex 2005</t>
  </si>
  <si>
    <t>Építőipari költségalapú árindex 2006</t>
  </si>
  <si>
    <t>Külső validálás</t>
  </si>
  <si>
    <t>Fogvatartottak száma az új börtönökben</t>
  </si>
  <si>
    <t>Zárkaterület / börtön</t>
  </si>
  <si>
    <t>Tervezett egy főre jutó bruttó zárkaterület (nm / fogvatartottak száma)</t>
  </si>
  <si>
    <t>Megvalósult egy főre jutó bruttó zárkaterület (nm / fogvatartottak száma)</t>
  </si>
  <si>
    <t>Megvalósult Bv. Intézet építésének költsége / fő / nap</t>
  </si>
  <si>
    <t>Megvalósult Bv. Intézetek építésének éves költsége</t>
  </si>
  <si>
    <t>Megvalósult Bv. Intézetek építésének éves költsége / fő</t>
  </si>
  <si>
    <t>S.E.</t>
  </si>
  <si>
    <t>p-érték</t>
  </si>
  <si>
    <t>95% konfidencia intervallum</t>
  </si>
  <si>
    <t>Speciális paraméterek:</t>
  </si>
  <si>
    <t>Új börtön építésének költség</t>
  </si>
  <si>
    <t>Férőhelybővítési adatok</t>
  </si>
  <si>
    <t>Feltevés: Amennyiben az új fogvatartottak száma eléri a megadott optimális üzemméret értékét, új börtönök épülnek</t>
  </si>
  <si>
    <t>Feltevés: Amennyiben az új fogvatartottak száma nem éri el a megadott optimális üzemméret értékét, az ideális szcenárióban férőhelybővítés (új körletek vagy zárkák) történik, a változatlan szcenárióban pedig a meglevő intézetekben helyezik el az új fogvatartottakat.</t>
  </si>
  <si>
    <t xml:space="preserve">Baranya Megyei Bv. Intézet </t>
  </si>
  <si>
    <t>Bács-Kiskun Megyei Bv Intézet</t>
  </si>
  <si>
    <t>Fővárosi Büntetés-végrehajtási Intézet</t>
  </si>
  <si>
    <t>Összköltség</t>
  </si>
  <si>
    <t>Építési költség / férőhely (2013 Ft)</t>
  </si>
  <si>
    <t>Építési költség / bruttó nm (2013 Ft)</t>
  </si>
  <si>
    <t>Börtönépítési költség / bruttó nm</t>
  </si>
  <si>
    <t>Fogvatartottak száma egy új 25 fős blokkban</t>
  </si>
  <si>
    <t>Fogvatartottak száma egy új 35 fős blokkban</t>
  </si>
  <si>
    <t>Fogvatartottak száma egy új 80 fős blokkban</t>
  </si>
  <si>
    <t>Szükséges új 25 fős blokkok száma</t>
  </si>
  <si>
    <t>Szükséges új 35 fős blokkok száma</t>
  </si>
  <si>
    <t>Szükséges új 80 fős blokkok száma</t>
  </si>
  <si>
    <t>Férőhelybővítés költsége</t>
  </si>
  <si>
    <t>Férőhelybővítés összköltsége</t>
  </si>
  <si>
    <t>Férőhelybővítés éves költsége</t>
  </si>
  <si>
    <t>Férőhelybővítés éves költsége / fő</t>
  </si>
  <si>
    <t>Férőhelybővítés költsége / fő / nap</t>
  </si>
  <si>
    <t>Összterület</t>
  </si>
  <si>
    <t>Összterület négyzete</t>
  </si>
  <si>
    <t>Fogvatartotti létszám</t>
  </si>
  <si>
    <t>Fogvatartotti létszám négyzete</t>
  </si>
  <si>
    <t>Karbantartás költsége</t>
  </si>
  <si>
    <t>Karbantartás éves költsége</t>
  </si>
  <si>
    <t>Karbantartás éves költsége / fő</t>
  </si>
  <si>
    <t>Karbantartás költsége / fő / nap</t>
  </si>
  <si>
    <t>Új férőhelyek száma</t>
  </si>
  <si>
    <t>Fogvatartottak száma a potenciális új börtönökben</t>
  </si>
  <si>
    <t>Fogvatartotti létszám, akik nem az új börtönben helyeztek el</t>
  </si>
  <si>
    <t>Épített börtönök száma</t>
  </si>
  <si>
    <t>Regressziós eredmények (Változatlan szcenári)</t>
  </si>
  <si>
    <t>PPP börtönök karbtartási költsége (Ideális szcenárió)</t>
  </si>
  <si>
    <t>Egy építendő börtön összterülete (bruttó) / börtön</t>
  </si>
  <si>
    <t>Egy börtön megépítésének összköltsége</t>
  </si>
  <si>
    <t>Egy börtön építésének éves költsége</t>
  </si>
  <si>
    <t>Egy börtön építésének éves költsége / fő</t>
  </si>
  <si>
    <t>Egy épített börtön összterülete</t>
  </si>
  <si>
    <t>Fogvatartotti létszám egy épített börtönben</t>
  </si>
  <si>
    <t>Egy négyzetméterre eső karbantartási költségek a PPP szerződésekből</t>
  </si>
  <si>
    <t>Speciális paraméterek</t>
  </si>
  <si>
    <t xml:space="preserve"> -</t>
  </si>
  <si>
    <t>Új börtönök rezsiköltsége</t>
  </si>
  <si>
    <t>Új férőhelyek becsült területe</t>
  </si>
  <si>
    <t>Új börtön éves rezsi költsége</t>
  </si>
  <si>
    <t>Új börtön éves rezsi költsége / fő</t>
  </si>
  <si>
    <t>Új börtön rezsi költsége / fő / nap</t>
  </si>
  <si>
    <t>Férőhelybővítés éves rezsi költsége</t>
  </si>
  <si>
    <t>Férőhelybővítés éves rezsi költsége / fő</t>
  </si>
  <si>
    <t>Férőhelybővítés rezsi költsége / fő / nap</t>
  </si>
  <si>
    <t>Új börtönökben elhelyezett fogvatartottak száma</t>
  </si>
  <si>
    <t>Férőhelybővítés során elhelyezett fogvatartottak száma</t>
  </si>
  <si>
    <t>Rezsiköltség</t>
  </si>
  <si>
    <t>Személyzet költsége</t>
  </si>
  <si>
    <t>Személyzet éves költsége az új börtönökben</t>
  </si>
  <si>
    <t>Személyzet éves költsége fogvatartottanként az új börtönökben</t>
  </si>
  <si>
    <t>Személyzet éves költsége fogvatartottanként az új börtönökben / nap</t>
  </si>
  <si>
    <t>Főosztályvezető</t>
  </si>
  <si>
    <t>Főosztályvezető-helyettes</t>
  </si>
  <si>
    <t>Osztályvezető</t>
  </si>
  <si>
    <t>Tiszt</t>
  </si>
  <si>
    <t>Tiszthelyettes</t>
  </si>
  <si>
    <t>Beosztási ill. Max</t>
  </si>
  <si>
    <t>Rendfokozati ill. Max</t>
  </si>
  <si>
    <t>Beosztási és rendfokozati illetmény Max</t>
  </si>
  <si>
    <t>Kifizetett illetmény össz. Max</t>
  </si>
  <si>
    <t>Beosztási ill. Min</t>
  </si>
  <si>
    <t>Rendfokozati ill. Min</t>
  </si>
  <si>
    <t>Kifizetett illetmény össz. Min</t>
  </si>
  <si>
    <t>Közalkalmazott</t>
  </si>
  <si>
    <t>Külső validálás: bottom-up számítás a jogszabályban előírt illetményeknek megfelelően</t>
  </si>
  <si>
    <t>Hosszú távú változó költség: Alapszemélyzet költsége új börtön építése esetén (Fogvatartotti létszám 108 fő)</t>
  </si>
  <si>
    <t>Személyzet növekedésének éves költsége a meglevő intézetekben</t>
  </si>
  <si>
    <t>Személyzet növekedésének éves költsége a meglevő intézetekben / fogvatartott</t>
  </si>
  <si>
    <t>Személyzet növekedésének  költsége a meglevő intézetekben / fogvatartott / nap</t>
  </si>
  <si>
    <t>Hány rab után kell újat felvenni - min</t>
  </si>
  <si>
    <t>Hány rab után kell újat felvenni - max</t>
  </si>
  <si>
    <t>Alapszemélyzet</t>
  </si>
  <si>
    <t xml:space="preserve">Alapszemélyzet költsége </t>
  </si>
  <si>
    <t>Hány rab után kell újat felvenni - választott</t>
  </si>
  <si>
    <t>Min. Éves költség:</t>
  </si>
  <si>
    <t>Min. Havi költség:</t>
  </si>
  <si>
    <t>Max. Havi költség:</t>
  </si>
  <si>
    <t>Max. Éves költség:</t>
  </si>
  <si>
    <t>Számolási paraméterek</t>
  </si>
  <si>
    <t>Hány új rab esetén kell az alábbi poziciókat feltölteni:</t>
  </si>
  <si>
    <t xml:space="preserve"> Új alkalmazottak száma az alábbi pozíciókban az új börtönökben:</t>
  </si>
  <si>
    <t>Adott pozicíóra adható minimális illetmény (segédsor):</t>
  </si>
  <si>
    <t>Karbantartásának éves költsége</t>
  </si>
  <si>
    <t>Bv. Intézetek karbantartásának éves költsége</t>
  </si>
  <si>
    <t>Bv. Intézetek karbantartásának éves költsége / fő</t>
  </si>
  <si>
    <t>Bv. Intézetek karbantartásának költsége / fő / nap</t>
  </si>
  <si>
    <t>Útmutató a szimulációs táblázat használatához</t>
  </si>
  <si>
    <t>EREDMÉNYEK</t>
  </si>
  <si>
    <t>Szcenárió-változók</t>
  </si>
  <si>
    <t>Számítási paraméterek</t>
  </si>
  <si>
    <t>Általános leírás</t>
  </si>
  <si>
    <t>Paraméterek és változók</t>
  </si>
  <si>
    <t>Néhány fix paramétertől eltekintve, a paraméterekhez és változókhoz alsó és felső határértékeket rendeltünk. A számításhoz használni kívánt változókat és paramétereket a "Paraméterek-Eredmények" munkalapon adhatja meg. A választott értékeket az alsó és felső határérték között érdemes megszabni.</t>
  </si>
  <si>
    <t>Választott értékek</t>
  </si>
  <si>
    <t xml:space="preserve">Ez a szimulációs eszköz a fogvatartás egy fogvatartottra eső költségét határozza meg különböző feltevések mellett. A "Paraméterek-Eredmények" nevű munkalapon adhatja meg a számításhoz használt paramétereket és változókat, valamint itt összegezzük a számítások végső eredményét. Az egyes költségkategóriákhoz tartozó háttérszámításokat külön munkalapokon végeztük, ezeken részletesebb információkat találhat ezekről a költségelemekről. </t>
  </si>
  <si>
    <t>Összehasonlítás a jelenlegi költségekkel</t>
  </si>
  <si>
    <t>A számítások mellett összehasonlításként szerepeltettük a büntetés-végrehajtás rendszerének jelenlegi költségeit a "Jelenleg" című oszlopban. (Ebben a költségben például nem szerepel börtönépítés költsége, hiszen változatlan fogvatartotti létszám mellett az intézeti épületek adottak.) A jelenlegi költségek alatt gyakorlatilag átlagköltséget értünk: az összes bv. intézetben felmerülő költséget a mostani fogvatartotti létszámmal osztottuk le.</t>
  </si>
  <si>
    <t>Színkódok</t>
  </si>
  <si>
    <t>Számítási paraméterek választott értékei</t>
  </si>
  <si>
    <t>Szcenárió-változók választott értékei</t>
  </si>
  <si>
    <t>Eredmények</t>
  </si>
  <si>
    <t>Az egyes költségkategóriákról szóló munkalapok szerkezete</t>
  </si>
  <si>
    <t>Output változó, paraméterek, szcenáriók</t>
  </si>
  <si>
    <t>Számolás</t>
  </si>
  <si>
    <t>Fogvatartás ára (per rab per év, 2013 Ft)</t>
  </si>
  <si>
    <t>A következő táblázatokban feltüntettük azokat a változókat és paramétereket, amelyeket az adott költségkategória becsléséhez felhasználunk. Néhány esetben itt speciális paraméterek is szerepelnek, melyeket csak az adott kategóriában használtunk.</t>
  </si>
  <si>
    <t>Az eddig említett fix elemek után következik az egyes kategóriákra vonatkozó számítások bemutatása.</t>
  </si>
  <si>
    <t>Börtönépítés költsége</t>
  </si>
  <si>
    <t>Éves rezsiköltség</t>
  </si>
  <si>
    <t>Éves rezsiköltség / fő</t>
  </si>
  <si>
    <t>Rezsiköltség / fő / nap</t>
  </si>
  <si>
    <t>Személyzet éves költsége / fő</t>
  </si>
  <si>
    <t xml:space="preserve">Személyzet költsége </t>
  </si>
  <si>
    <t>Dologi költségek éves szinten</t>
  </si>
  <si>
    <t>Dologi költségek éves szinten / fő</t>
  </si>
  <si>
    <t>Dologi költségek / fő / nap</t>
  </si>
  <si>
    <t>Leírás</t>
  </si>
  <si>
    <t>Formaruha (fogvatartottanként), személyzet ruhája, foglalkoztatott rabok munkaruhája</t>
  </si>
  <si>
    <t>Mitől függ?</t>
  </si>
  <si>
    <t xml:space="preserve">Benzin, gázolaj </t>
  </si>
  <si>
    <t>Intézeti működéshez szükséges, személyzettel arányos lehet, mert pl. minden alkalmazottnak kell asztal és szék.</t>
  </si>
  <si>
    <t>Tisztítószer (négyzetmétertől függ), tisztálkodószer a fogvatartottaknak (fogvatartottaktól függ)</t>
  </si>
  <si>
    <t>Fogvatartottak száma, személyzet, foglalkoztatott rabok száma</t>
  </si>
  <si>
    <t>Minden egyéb, pl. poloskairtás, rovarirtás</t>
  </si>
  <si>
    <t>Fogvatartottaknak járó kötelező kellékek</t>
  </si>
  <si>
    <t>Zárkák, biztonságtechnika</t>
  </si>
  <si>
    <t>Részeredmény</t>
  </si>
  <si>
    <t>Jelenlegi személyi állomány (statisztikai)</t>
  </si>
  <si>
    <t>Előzetesben levők aránya</t>
  </si>
  <si>
    <t>Előzetesben levők vs. jogerősen elítéltek</t>
  </si>
  <si>
    <t>Jogerősen elítéltek</t>
  </si>
  <si>
    <t>Előzetesben levők</t>
  </si>
  <si>
    <t>Előzetes letartóztatásban levők</t>
  </si>
  <si>
    <t>Egy főre eső éves költség (fogvatartott, személyzet, munkáltatásban résztvevő fogvatartott):</t>
  </si>
  <si>
    <t>Első felszerelés költsége (PPP szerződésekből)</t>
  </si>
  <si>
    <t xml:space="preserve">Változatlan </t>
  </si>
  <si>
    <t>Szállításban futott km-ek, előzetesben levők száma</t>
  </si>
  <si>
    <t>Egy előzetesben levőre eső költség:</t>
  </si>
  <si>
    <t>A személyzet egy tagjára eső költség:</t>
  </si>
  <si>
    <t>Egy fogvatartottra jutó költség:</t>
  </si>
  <si>
    <t>Specifikus paraméterek</t>
  </si>
  <si>
    <t>Árindexek</t>
  </si>
  <si>
    <t>Lakásjavítás, -karbantartás árindexe 2005</t>
  </si>
  <si>
    <t>Lakásjavítás, -karbantartás árindexe 2006</t>
  </si>
  <si>
    <t>Audiovizuális eszközök</t>
  </si>
  <si>
    <t>Bútor és tartozákok</t>
  </si>
  <si>
    <t>Számítástechnikai eszközök</t>
  </si>
  <si>
    <t>Kommunikációs eszközök</t>
  </si>
  <si>
    <t>Ruházat és ágynemű</t>
  </si>
  <si>
    <t>Gépjármű</t>
  </si>
  <si>
    <t>Egyéb</t>
  </si>
  <si>
    <t>Tiszalök - 2005</t>
  </si>
  <si>
    <t>Szombathely - 2006</t>
  </si>
  <si>
    <t>Használt árindex neve (KSH)</t>
  </si>
  <si>
    <t>Árindex 2005</t>
  </si>
  <si>
    <t>Árindex 2006</t>
  </si>
  <si>
    <t>Konyha és egyéb bútor</t>
  </si>
  <si>
    <t>Audió, videó készülékek</t>
  </si>
  <si>
    <t>Számítógép, fényképezőgép, telefonkészülék</t>
  </si>
  <si>
    <t>Telefon, internet</t>
  </si>
  <si>
    <t>Férfi felsőruházat</t>
  </si>
  <si>
    <t>Járművek</t>
  </si>
  <si>
    <t>Fogyasztói árindex</t>
  </si>
  <si>
    <t>Tiszalök - 2013, Ft</t>
  </si>
  <si>
    <t>Szombathely - 2013, Ft</t>
  </si>
  <si>
    <t>Költségtétel</t>
  </si>
  <si>
    <t>Egy fogvatartottra jutó költségek összesen:</t>
  </si>
  <si>
    <t>Fogvatartotti létszám, akiket nem az új börtönben helyeztek el</t>
  </si>
  <si>
    <t>Dologi költségek évente</t>
  </si>
  <si>
    <t>Dologi költségek évente / fő</t>
  </si>
  <si>
    <t>Első felszerelés költsége új börtön építése esetén</t>
  </si>
  <si>
    <t>Specifikus szcenárió-váltózok</t>
  </si>
  <si>
    <t>Egy előzetesben levőre eső költség (szállítás):</t>
  </si>
  <si>
    <t>A személyzet egy tagjára eső költség (intézeti bútorok):</t>
  </si>
  <si>
    <t>Egy fogvatartottra jutó költségek összesen (minden egyéb):</t>
  </si>
  <si>
    <t>Első felszerelés költsége</t>
  </si>
  <si>
    <t>Új börtönök első felszerelése</t>
  </si>
  <si>
    <t>Éves ruhaköltség (fogvatartott, személyzet, munkáltatásban résztvevő fogvatartott):</t>
  </si>
  <si>
    <t>Egy főre eső éves költség (fogvatartott, személyzet, munkáltatásban résztvevő fogvatartott) (ruhaköltség)</t>
  </si>
  <si>
    <t>A személyzet egy tagjára eső éves költség (intézeti bútorok):</t>
  </si>
  <si>
    <t>Egy fogvatartottra jutó éves költségek összesen (minden egyéb):</t>
  </si>
  <si>
    <t>A "Részeredmény" táblázatban találhatóak az adott költségkategóriára vonatkozó részeredmények. A "Paraméterek-Eredmények" munkalapon ezek a részeredmények vannak összegezve az első, "EREDMÉNYEK" című táblázatban.</t>
  </si>
  <si>
    <t>Jelenlegi bv. adatok</t>
  </si>
  <si>
    <t>Fogvatartás ára (per fogvatartott per év, 2013 Ft)</t>
  </si>
  <si>
    <t>előzetes letartóztatásban levők és jogerősen elítéltek száma összesen</t>
  </si>
  <si>
    <t xml:space="preserve">Feltételezzük, hogy a nagyobb szabású férőhelybővítés alacsonyabb fajlagos költséggel valósítható meg (ahogy a 3 megvalósult férőhelybővítés adataiból látszik). </t>
  </si>
  <si>
    <t>Regressziós eredmények (Változatlan szcenárió)</t>
  </si>
  <si>
    <t>Rövid távú változó költség: Hány új rab esetén kell új embereket alkalmazni az egyes poziciókban?</t>
  </si>
  <si>
    <t>Fogvatartottak munkáltatásának éves költsége</t>
  </si>
  <si>
    <t>Fogvatartottak munkáltatásának éves költsége / fő</t>
  </si>
  <si>
    <t>Fogvatartottak munkáltatásának költsége/ fő / nap</t>
  </si>
  <si>
    <t>Munkáltatás költsége</t>
  </si>
  <si>
    <t>Társaság</t>
  </si>
  <si>
    <t>Mérleg szerinti eredmény (Ft)</t>
  </si>
  <si>
    <t>Átlagos állományi létszám (fő)</t>
  </si>
  <si>
    <t>Mérleg szerinti eredmény per fő</t>
  </si>
  <si>
    <t>Duna-Mix Kft.</t>
  </si>
  <si>
    <t>Ábránd-Textil Kft.</t>
  </si>
  <si>
    <t>Kalocsai Konfekcióipari Kft.</t>
  </si>
  <si>
    <t>Adorján Tex Kft.</t>
  </si>
  <si>
    <t>Ipoly Cipőgyár Kft.</t>
  </si>
  <si>
    <t>BUFA Kft.</t>
  </si>
  <si>
    <t>Sopronkőhidai Kft.</t>
  </si>
  <si>
    <t>Duna Papír Kft.</t>
  </si>
  <si>
    <t>Nostra Kft.</t>
  </si>
  <si>
    <t>Ipar</t>
  </si>
  <si>
    <t>Állampusztai Kft.</t>
  </si>
  <si>
    <t>Annamajori Kft.</t>
  </si>
  <si>
    <t>Pálhalmai Agrospeciál Kft.</t>
  </si>
  <si>
    <t>Nagyfa-Alföld Kft.</t>
  </si>
  <si>
    <t>Mezőgazdaság</t>
  </si>
  <si>
    <t>Egy gazdasági társaságnál dolgozó fogvatartottra eső eredmény</t>
  </si>
  <si>
    <t>Képzések, oktatás ára</t>
  </si>
  <si>
    <t>ebből költségvetési munkát végez / arány az összes foglalkoztatott fogvatartotthoz képest</t>
  </si>
  <si>
    <t>ebből gazdasági társaságnál dolgozik / arány az összes foglalkoztatott fogvatartotthoz képest</t>
  </si>
  <si>
    <t>ebből jogerősen elítélt / arány az összes előzetes letartóztatásban levő és jogerősen elítélthez képest</t>
  </si>
  <si>
    <t>ebből előzetes letartóztatásban levő / arány az összes előzetes letartóztatásban levő és jogerősen elítélthez képest</t>
  </si>
  <si>
    <t>Foglalkoztatott fogvatartott száma jelenleg / arány a jogerősen elítélt fogvatartottakhoz képest</t>
  </si>
  <si>
    <t>Oktatásban vagy képzésben részt vevő fogvatartottak becsült száma (interjúkból)</t>
  </si>
  <si>
    <t>Interjúkból az derül ki, hogy a jelenlegi helyzetben több fogvatartottat nem lehet foglalkoztatni sem kft-nél sem költségvetési munka keretében. Feltételezzük, hogy az új fogvatartottak vagy munkába állnak, vagy oktatásban vesznek részt.</t>
  </si>
  <si>
    <t xml:space="preserve">Óvodai dajkaképzés költsége / fő </t>
  </si>
  <si>
    <t>Fogyó elektródás védőgázas ívhegesztő képzés költsége / fő</t>
  </si>
  <si>
    <t>Képzések költsége / fő</t>
  </si>
  <si>
    <t xml:space="preserve">Felső határ </t>
  </si>
  <si>
    <t>Egy foglalkoztatott fogvatartottra jutó mérleg szerinti eredmény gazdasági társaságokban</t>
  </si>
  <si>
    <t>Foglalkoztatásból származó nyereség</t>
  </si>
  <si>
    <t>Oktatás és képzések költsége</t>
  </si>
  <si>
    <t>Összes éves költség</t>
  </si>
  <si>
    <t>2 hónap</t>
  </si>
  <si>
    <t>6 hónap</t>
  </si>
  <si>
    <t>Egy foglalkoztatott fogvatartottra jutó mérleg szerinti eredmény gazdasági társaságokban (éves)</t>
  </si>
  <si>
    <t>Egy főre jutó éves költség</t>
  </si>
  <si>
    <t>Egy főre jutó napi költség</t>
  </si>
  <si>
    <t>Éves perköltség</t>
  </si>
  <si>
    <t>Éves perköltség / fő</t>
  </si>
  <si>
    <t>Perköltség / fő / nap</t>
  </si>
  <si>
    <t>Ha túltelítettség van, akkor vannak perek, ha nincs, akkor nincsenek</t>
  </si>
  <si>
    <t>Strasbourgi perek</t>
  </si>
  <si>
    <t>Forint / euró árfolyam (2013)</t>
  </si>
  <si>
    <t>Speciális paraméter</t>
  </si>
  <si>
    <t>Zsák v. Mo. 2011-2013</t>
  </si>
  <si>
    <t>Fehér v. Mo. 2010-2013</t>
  </si>
  <si>
    <t>Hagyó v. Mo. 2010-2013</t>
  </si>
  <si>
    <t>Éves perköltség per fő</t>
  </si>
  <si>
    <t>Euró</t>
  </si>
  <si>
    <t>Forint</t>
  </si>
  <si>
    <t>Élelmezés költsége / fő / év (alapnorma+pótlékok)</t>
  </si>
  <si>
    <t>Élelmezési alapnorma / fő</t>
  </si>
  <si>
    <t>Élelmezés költsége</t>
  </si>
  <si>
    <t>Élelmezés éves költsége / fő</t>
  </si>
  <si>
    <t>Élelmezési költsége / fő / nap</t>
  </si>
  <si>
    <t>258,844 eset</t>
  </si>
  <si>
    <t>9,444 eset</t>
  </si>
  <si>
    <t>Gyógyszerek költsége</t>
  </si>
  <si>
    <t>Saját számítás</t>
  </si>
  <si>
    <t xml:space="preserve"> Becsült amortizáció</t>
  </si>
  <si>
    <t>PPP-s becslés</t>
  </si>
  <si>
    <t>Intézetenkénti fix költség</t>
  </si>
  <si>
    <t>Területből adódó költség</t>
  </si>
  <si>
    <t>Fogvatartottakból adódó költség</t>
  </si>
  <si>
    <t>Számítási módszer</t>
  </si>
  <si>
    <t>Állami int.</t>
  </si>
  <si>
    <t>PPP</t>
  </si>
  <si>
    <t>Megjegyzés: A karbantartási költségeknél a változatlan állapotnál a meglevő állami intézetek karbantartási adataiból számoltunk. Az ideális szcenárióhoz az európai normáknak megfelelőnek mondott PPP intézetek szerződéseiből vettük a karbantartásra vonatkozó összegeket, és ezzel számoltunk. Az utolsó oszlopban a "Választott" paraméter- és változóértékek melletti számításhoz a felhasználónak ki kell választani, hogy mely számítási módszert veszi alapul.</t>
  </si>
  <si>
    <t>Speciális változók</t>
  </si>
  <si>
    <t>Regressziós becslés működő állami intézetek adataiból</t>
  </si>
  <si>
    <t>Karbantartás éves költsége (2013 Ft)</t>
  </si>
  <si>
    <t>Alapszemélyzet költsége</t>
  </si>
  <si>
    <t>Beosztási és rendfokozati illetmények pozíciónként</t>
  </si>
  <si>
    <t>Fogvatartottanként:</t>
  </si>
  <si>
    <t>Négyzetméterenként:</t>
  </si>
  <si>
    <t>Másik munkalapon levő számítás eredménye</t>
  </si>
  <si>
    <t>Külső validálás alatt igyekeztünk az "Részeredmények" szerkezetének megfelelően különböző módszerekkel összehasonlítható becsléseket adni, számításunk egyfajta ellenőrzéseképp. (Ez a rész a legtöbb kategóriánál még hiányos)</t>
  </si>
  <si>
    <t>Előzetes vs. elítéltek</t>
  </si>
  <si>
    <t>Ezen a munkalapon az előzetes letartóztatásban levőkre és a jogerősen elítéltekre külön összegeztük a fogvatartás költségét.</t>
  </si>
  <si>
    <t>Költségvetési munkáltatás</t>
  </si>
  <si>
    <t>Jelenlegi munkáltatási adatok</t>
  </si>
  <si>
    <t>Költségvetési munkáltatás keretében foglalkoztatottak havi alapmunkadíja</t>
  </si>
  <si>
    <t>A munkáltatás során a tartási költséghez való hozzájárulás napi összege</t>
  </si>
  <si>
    <t>Foglalkoztatási arány az új jogerősen elítélt fogvatartottak körében (Oktatásban vesz részt, vagy gazdasági társaságnál dolgozik)</t>
  </si>
  <si>
    <t>Speciális paraméterek az ideális állapot alsó és felső határának meghatározásához</t>
  </si>
  <si>
    <t>Költségvetési munkát végzők aránya az új jogerősen elítéltek közül</t>
  </si>
  <si>
    <t>Munkáltatási arány az új jogerősen elítélt fogvatartottak körében a költségvetési munkában foglalkoztatottakat leszámítva (gazdasági társaságoknál)</t>
  </si>
  <si>
    <t>Oktatásban vagy képzésben résztvevők aránya a új jogerősen elítélt fogvatartottak körében (a költségvetési munkában foglalkoztatottakat leszámítva</t>
  </si>
  <si>
    <t>Megjegyzés: Feltételezhetjük, hogy az új intézetekben a mostani szintnek megfelelően a fogvatartottak 29%-a költségvetési munkában lesz foglalkoztatva. Az első sorban  látható arányok arra vonatkoznak, hogy a maradék fogvatartott mekkora része tud részt venni valamilyen foglalkoztatásban. A második és a harmadik sor azt mutatja meg, hogy a költségvetési munkán kívül foglalkoztatott fogvatartottak mekkora része megy gazd. társasághoz dologzni és mekkora része vesz részt képzésben.</t>
  </si>
  <si>
    <t>Új intézetek száma</t>
  </si>
  <si>
    <t>Számítási módszer a választott esetben</t>
  </si>
  <si>
    <t>Előzetesben levők szállítási költsége</t>
  </si>
  <si>
    <t>Kiképzés költsége / fő (27 hetes moduláris képzés)</t>
  </si>
  <si>
    <t>Kiképzés költsége /fő / év (attól függően, hogy mit feltételezünk mennyi ideig dolgozik a bv.-nél egy alkalmazott)</t>
  </si>
  <si>
    <t>Bv.-nél töltött munkaviszony átlagos hossza</t>
  </si>
  <si>
    <t>Kiképzés költsége / fő / év</t>
  </si>
  <si>
    <t>Személyzet képzésének költsége évente</t>
  </si>
  <si>
    <t>Személyzet képzésének költsége évente fogvatartottanként</t>
  </si>
  <si>
    <t>Személyzet kézpésének költsége / fogvatartott / nap</t>
  </si>
  <si>
    <t>Foglalkoztatás</t>
  </si>
  <si>
    <t>Telítettség (teljes bv. Szintjén)</t>
  </si>
  <si>
    <t>Az üzemméret esetében megtévesztő alsó és felső határról beszélni, mivel ez a paraméter nem egyértelműen befolyásolja az eredményeket. Ebből adódóan előfordulhat, hogy az alsó határérték meghaladja a felső határértéket.</t>
  </si>
  <si>
    <t>Választott (a kettő összege: 100%)</t>
  </si>
  <si>
    <r>
      <t xml:space="preserve">Az "output változó" jelen esetben a </t>
    </r>
    <r>
      <rPr>
        <i/>
        <sz val="11"/>
        <color theme="1"/>
        <rFont val="Myriad Pro"/>
        <family val="2"/>
      </rPr>
      <t>fogvatartottak számának növekedése</t>
    </r>
    <r>
      <rPr>
        <sz val="11"/>
        <color theme="1"/>
        <rFont val="Myriad Pro"/>
        <family val="2"/>
      </rPr>
      <t>,tehát azt adja meg, hogy mennyivel növekszik az elhelyezendő fogvatartottak száma. A számítás végeredménye azt adja meg, hogy ennyi új fogvatartott elhelyezése összesen és fogvatartottanként mekkora éves költséggel lenne megoldható.</t>
    </r>
  </si>
  <si>
    <r>
      <t xml:space="preserve">A szcenárió-változók a </t>
    </r>
    <r>
      <rPr>
        <i/>
        <sz val="11"/>
        <color theme="1"/>
        <rFont val="Myriad Pro"/>
        <family val="2"/>
      </rPr>
      <t>változatlan</t>
    </r>
    <r>
      <rPr>
        <sz val="11"/>
        <color theme="1"/>
        <rFont val="Myriad Pro"/>
        <family val="2"/>
      </rPr>
      <t xml:space="preserve"> (jelenlegi börtönkörülmények fenntartása)</t>
    </r>
    <r>
      <rPr>
        <i/>
        <sz val="11"/>
        <color theme="1"/>
        <rFont val="Myriad Pro"/>
        <family val="2"/>
      </rPr>
      <t xml:space="preserve"> </t>
    </r>
    <r>
      <rPr>
        <sz val="11"/>
        <color theme="1"/>
        <rFont val="Myriad Pro"/>
        <family val="2"/>
      </rPr>
      <t xml:space="preserve">és az </t>
    </r>
    <r>
      <rPr>
        <i/>
        <sz val="11"/>
        <color theme="1"/>
        <rFont val="Myriad Pro"/>
        <family val="2"/>
      </rPr>
      <t xml:space="preserve">ideális </t>
    </r>
    <r>
      <rPr>
        <sz val="11"/>
        <color theme="1"/>
        <rFont val="Myriad Pro"/>
        <family val="2"/>
      </rPr>
      <t>(jogszabályoknak és európai normáknak megfelelő börtönkörülményeket biztosító) szcenáriók megkülönböztetésére szolgálnak.</t>
    </r>
  </si>
  <si>
    <r>
      <t xml:space="preserve">A számítási paraméterek a számolás gyakorlati megvalósításához kellenek. Mivel ezek értékei sokszor nem egyértelműek, ezért ezekhez alsó és felső határértékeket rendeltünk, amelyek segítségével a </t>
    </r>
    <r>
      <rPr>
        <i/>
        <sz val="11"/>
        <color theme="1"/>
        <rFont val="Myriad Pro"/>
        <family val="2"/>
      </rPr>
      <t xml:space="preserve">változatlan </t>
    </r>
    <r>
      <rPr>
        <sz val="11"/>
        <color theme="1"/>
        <rFont val="Myriad Pro"/>
        <family val="2"/>
      </rPr>
      <t xml:space="preserve">és az </t>
    </r>
    <r>
      <rPr>
        <i/>
        <sz val="11"/>
        <color theme="1"/>
        <rFont val="Myriad Pro"/>
        <family val="2"/>
      </rPr>
      <t xml:space="preserve">ideális </t>
    </r>
    <r>
      <rPr>
        <sz val="11"/>
        <color theme="1"/>
        <rFont val="Myriad Pro"/>
        <family val="2"/>
      </rPr>
      <t xml:space="preserve">szcenáriók esetére egy-egy intervallumbecslést adunk. </t>
    </r>
  </si>
  <si>
    <r>
      <t xml:space="preserve">A táblázat automatikusan intervallumbecslést ad az adott mértékű fogvatartotti létszámnövekedéshez tartozó </t>
    </r>
    <r>
      <rPr>
        <i/>
        <sz val="11"/>
        <color theme="1"/>
        <rFont val="Myriad Pro"/>
        <family val="2"/>
      </rPr>
      <t xml:space="preserve">változatlan </t>
    </r>
    <r>
      <rPr>
        <sz val="11"/>
        <color theme="1"/>
        <rFont val="Myriad Pro"/>
        <family val="2"/>
      </rPr>
      <t xml:space="preserve">és </t>
    </r>
    <r>
      <rPr>
        <i/>
        <sz val="11"/>
        <color theme="1"/>
        <rFont val="Myriad Pro"/>
        <family val="2"/>
      </rPr>
      <t>ideális</t>
    </r>
    <r>
      <rPr>
        <sz val="11"/>
        <color theme="1"/>
        <rFont val="Myriad Pro"/>
        <family val="2"/>
      </rPr>
      <t xml:space="preserve"> körülmények mellett jelenkező költségére. Ezenkívül lehetőség van arra, hogy a megadott alsó és felső határértékek között a felhasználó maga adja meg a változók és paraméterek értékeit. A </t>
    </r>
    <r>
      <rPr>
        <i/>
        <sz val="11"/>
        <color theme="1"/>
        <rFont val="Myriad Pro"/>
        <family val="2"/>
      </rPr>
      <t xml:space="preserve">változatlan </t>
    </r>
    <r>
      <rPr>
        <sz val="11"/>
        <color theme="1"/>
        <rFont val="Myriad Pro"/>
        <family val="2"/>
      </rPr>
      <t xml:space="preserve">és az </t>
    </r>
    <r>
      <rPr>
        <i/>
        <sz val="11"/>
        <color theme="1"/>
        <rFont val="Myriad Pro"/>
        <family val="2"/>
      </rPr>
      <t xml:space="preserve">ideális </t>
    </r>
    <r>
      <rPr>
        <sz val="11"/>
        <color theme="1"/>
        <rFont val="Myriad Pro"/>
        <family val="2"/>
      </rPr>
      <t>szcenárió intervallumbecslésein túl az Eredmény-táblázat utolsó oszlopában az összes változó és paraméter választott értékei alapján kapott eredmény jelenik meg (itt a szcenárió-változóknak is be lehet állítani egyéni értéket.</t>
    </r>
  </si>
  <si>
    <t>Előzetes letartóztatásban levők és jogerősen elítéltek közötti különbséghez vezető tényező</t>
  </si>
  <si>
    <r>
      <t xml:space="preserve">Azokat a mezőket, amelyeket a felhasználó maga tölthet ki, vastagon bekereteztük. A legfontosabb ilyen mezők  az 1. munkalapon vannak, de az egyes költségkategóriák </t>
    </r>
    <r>
      <rPr>
        <i/>
        <sz val="11"/>
        <rFont val="Myriad Pro"/>
        <family val="2"/>
      </rPr>
      <t>speciális változóinál és paramétereinél</t>
    </r>
    <r>
      <rPr>
        <sz val="11"/>
        <rFont val="Myriad Pro"/>
        <family val="2"/>
      </rPr>
      <t xml:space="preserve"> is előfordulnak az egyes kategóriákhoz szorosabban kapcsolódó paraméterek esetén (A, B, D, E, F, H munkalapok)</t>
    </r>
  </si>
  <si>
    <t>Peren kívüli megállapodások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</si>
</sst>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??_);_(@_)"/>
    <numFmt numFmtId="166" formatCode="_-* #,##0\ _F_t_-;\-* #,##0\ _F_t_-;_-* &quot;-&quot;??\ _F_t_-;_-@_-"/>
    <numFmt numFmtId="167" formatCode="0.0%"/>
    <numFmt numFmtId="168" formatCode="_-* #,##0.00\ [$Ft-40E]_-;\-* #,##0.00\ [$Ft-40E]_-;_-* &quot;-&quot;??\ [$Ft-40E]_-;_-@_-"/>
    <numFmt numFmtId="169" formatCode="_([$€-2]\ * #,##0_);_([$€-2]\ * \(#,##0\);_([$€-2]\ * &quot;-&quot;??_);_(@_)"/>
    <numFmt numFmtId="170" formatCode="_-* #,##0\ [$Ft-40E]_-;\-* #,##0\ [$Ft-40E]_-;_-* &quot;-&quot;??\ [$Ft-40E]_-;_-@_-"/>
    <numFmt numFmtId="171" formatCode="_([$€-2]\ * #,##0.00_);_([$€-2]\ * \(#,##0.00\);_([$€-2]\ * &quot;-&quot;??_);_(@_)"/>
    <numFmt numFmtId="172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Myriad Pro"/>
      <family val="2"/>
    </font>
    <font>
      <b/>
      <i/>
      <sz val="11"/>
      <color theme="1"/>
      <name val="Myriad Pro"/>
      <family val="2"/>
    </font>
    <font>
      <b/>
      <sz val="11"/>
      <color theme="1"/>
      <name val="Myriad Pro"/>
      <family val="2"/>
    </font>
    <font>
      <i/>
      <sz val="11"/>
      <color theme="1"/>
      <name val="Myriad Pro"/>
      <family val="2"/>
    </font>
    <font>
      <sz val="12"/>
      <color theme="1"/>
      <name val="Myriad Pro"/>
      <family val="2"/>
    </font>
    <font>
      <b/>
      <i/>
      <sz val="12"/>
      <color theme="1"/>
      <name val="Myriad Pro"/>
      <family val="2"/>
    </font>
    <font>
      <sz val="11"/>
      <color indexed="8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Myriad Pro"/>
      <family val="2"/>
    </font>
    <font>
      <sz val="11"/>
      <name val="Myriad Pro"/>
      <family val="2"/>
    </font>
    <font>
      <b/>
      <i/>
      <sz val="11"/>
      <color theme="0"/>
      <name val="Myriad Pro"/>
      <family val="2"/>
    </font>
    <font>
      <sz val="10"/>
      <color theme="1"/>
      <name val="Myriad Pro"/>
      <family val="2"/>
    </font>
    <font>
      <sz val="11"/>
      <color theme="0"/>
      <name val="Myriad Pro"/>
      <family val="2"/>
    </font>
    <font>
      <b/>
      <sz val="11"/>
      <name val="Myriad Pro"/>
      <family val="2"/>
    </font>
    <font>
      <b/>
      <i/>
      <u/>
      <sz val="11"/>
      <color theme="1"/>
      <name val="Myriad Pro"/>
      <family val="2"/>
    </font>
    <font>
      <i/>
      <sz val="11"/>
      <color theme="0"/>
      <name val="Myriad Pro"/>
      <family val="2"/>
    </font>
    <font>
      <b/>
      <sz val="11"/>
      <color rgb="FF000000"/>
      <name val="Myriad Pro"/>
      <family val="2"/>
    </font>
    <font>
      <b/>
      <i/>
      <sz val="11"/>
      <color rgb="FF000000"/>
      <name val="Myriad Pro"/>
      <family val="2"/>
    </font>
    <font>
      <sz val="11"/>
      <color rgb="FF000000"/>
      <name val="Myriad Pro"/>
      <family val="2"/>
    </font>
    <font>
      <i/>
      <sz val="11"/>
      <name val="Myriad Pro"/>
      <family val="2"/>
    </font>
    <font>
      <b/>
      <i/>
      <sz val="11"/>
      <name val="Myriad Pro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125">
        <bgColor theme="9" tint="0.59999389629810485"/>
      </patternFill>
    </fill>
    <fill>
      <patternFill patternType="gray125">
        <bgColor theme="9" tint="0.79998168889431442"/>
      </patternFill>
    </fill>
    <fill>
      <patternFill patternType="solid">
        <fgColor rgb="FFFFDF00"/>
        <bgColor indexed="64"/>
      </patternFill>
    </fill>
    <fill>
      <patternFill patternType="solid">
        <fgColor rgb="FFE26B0A"/>
        <bgColor indexed="64"/>
      </patternFill>
    </fill>
    <fill>
      <patternFill patternType="gray125">
        <bgColor rgb="FFE26B0A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gray125">
        <bgColor rgb="FF92D050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5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66" fontId="9" fillId="0" borderId="0" xfId="3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3" xfId="0" applyFont="1" applyBorder="1"/>
    <xf numFmtId="164" fontId="3" fillId="0" borderId="0" xfId="0" applyNumberFormat="1" applyFont="1" applyFill="1" applyBorder="1"/>
    <xf numFmtId="0" fontId="3" fillId="0" borderId="3" xfId="0" applyFont="1" applyBorder="1" applyAlignment="1">
      <alignment wrapText="1"/>
    </xf>
    <xf numFmtId="0" fontId="3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9" fontId="3" fillId="2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/>
    <xf numFmtId="3" fontId="3" fillId="0" borderId="0" xfId="0" applyNumberFormat="1" applyFont="1"/>
    <xf numFmtId="0" fontId="6" fillId="0" borderId="1" xfId="0" applyFont="1" applyBorder="1"/>
    <xf numFmtId="0" fontId="6" fillId="0" borderId="8" xfId="0" applyFont="1" applyBorder="1"/>
    <xf numFmtId="0" fontId="6" fillId="0" borderId="8" xfId="0" applyFont="1" applyBorder="1" applyAlignment="1">
      <alignment wrapText="1"/>
    </xf>
    <xf numFmtId="0" fontId="6" fillId="0" borderId="2" xfId="0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0" fontId="3" fillId="0" borderId="9" xfId="0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2" borderId="6" xfId="0" applyNumberFormat="1" applyFont="1" applyFill="1" applyBorder="1"/>
    <xf numFmtId="9" fontId="3" fillId="0" borderId="0" xfId="2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9" fontId="3" fillId="4" borderId="0" xfId="2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5" borderId="15" xfId="0" applyFont="1" applyFill="1" applyBorder="1"/>
    <xf numFmtId="165" fontId="14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1" xfId="0" applyFont="1" applyFill="1" applyBorder="1"/>
    <xf numFmtId="0" fontId="3" fillId="0" borderId="19" xfId="0" applyFont="1" applyBorder="1" applyAlignment="1">
      <alignment wrapText="1"/>
    </xf>
    <xf numFmtId="0" fontId="3" fillId="0" borderId="10" xfId="0" applyFont="1" applyBorder="1"/>
    <xf numFmtId="0" fontId="3" fillId="2" borderId="19" xfId="0" applyFont="1" applyFill="1" applyBorder="1" applyAlignment="1">
      <alignment wrapText="1"/>
    </xf>
    <xf numFmtId="0" fontId="3" fillId="3" borderId="25" xfId="0" applyFont="1" applyFill="1" applyBorder="1" applyAlignment="1">
      <alignment wrapText="1"/>
    </xf>
    <xf numFmtId="3" fontId="3" fillId="0" borderId="0" xfId="0" applyNumberFormat="1" applyFont="1" applyFill="1" applyBorder="1"/>
    <xf numFmtId="0" fontId="16" fillId="9" borderId="3" xfId="0" applyFont="1" applyFill="1" applyBorder="1" applyAlignment="1">
      <alignment wrapText="1"/>
    </xf>
    <xf numFmtId="0" fontId="16" fillId="9" borderId="5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164" fontId="3" fillId="0" borderId="0" xfId="0" applyNumberFormat="1" applyFont="1"/>
    <xf numFmtId="0" fontId="3" fillId="2" borderId="19" xfId="0" applyFont="1" applyFill="1" applyBorder="1" applyAlignment="1" applyProtection="1">
      <alignment wrapText="1"/>
    </xf>
    <xf numFmtId="0" fontId="13" fillId="2" borderId="25" xfId="0" applyFont="1" applyFill="1" applyBorder="1" applyAlignment="1" applyProtection="1">
      <alignment wrapText="1"/>
    </xf>
    <xf numFmtId="0" fontId="4" fillId="0" borderId="24" xfId="0" applyFont="1" applyFill="1" applyBorder="1" applyAlignment="1" applyProtection="1">
      <alignment wrapText="1"/>
    </xf>
    <xf numFmtId="0" fontId="4" fillId="0" borderId="27" xfId="0" applyFont="1" applyFill="1" applyBorder="1" applyAlignment="1" applyProtection="1">
      <alignment horizontal="center"/>
    </xf>
    <xf numFmtId="0" fontId="5" fillId="0" borderId="21" xfId="0" applyFont="1" applyFill="1" applyBorder="1" applyProtection="1"/>
    <xf numFmtId="0" fontId="4" fillId="0" borderId="0" xfId="0" applyFont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0" fontId="16" fillId="9" borderId="3" xfId="0" applyFont="1" applyFill="1" applyBorder="1" applyAlignment="1" applyProtection="1">
      <alignment wrapText="1"/>
    </xf>
    <xf numFmtId="0" fontId="16" fillId="9" borderId="5" xfId="0" applyFont="1" applyFill="1" applyBorder="1" applyAlignment="1" applyProtection="1">
      <alignment wrapText="1"/>
    </xf>
    <xf numFmtId="0" fontId="7" fillId="0" borderId="21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wrapText="1"/>
    </xf>
    <xf numFmtId="0" fontId="3" fillId="0" borderId="21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wrapText="1"/>
    </xf>
    <xf numFmtId="0" fontId="3" fillId="3" borderId="25" xfId="0" applyFont="1" applyFill="1" applyBorder="1" applyAlignment="1" applyProtection="1">
      <alignment wrapText="1"/>
    </xf>
    <xf numFmtId="0" fontId="5" fillId="0" borderId="24" xfId="0" applyFont="1" applyBorder="1" applyAlignment="1" applyProtection="1">
      <alignment wrapText="1"/>
    </xf>
    <xf numFmtId="0" fontId="5" fillId="0" borderId="27" xfId="0" applyFont="1" applyBorder="1" applyAlignment="1" applyProtection="1">
      <alignment wrapText="1"/>
    </xf>
    <xf numFmtId="0" fontId="5" fillId="0" borderId="27" xfId="0" applyFont="1" applyBorder="1" applyProtection="1"/>
    <xf numFmtId="0" fontId="5" fillId="0" borderId="21" xfId="0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3" fontId="3" fillId="0" borderId="0" xfId="0" applyNumberFormat="1" applyFont="1" applyBorder="1" applyProtection="1"/>
    <xf numFmtId="0" fontId="3" fillId="0" borderId="0" xfId="0" applyFont="1" applyBorder="1" applyProtection="1"/>
    <xf numFmtId="3" fontId="3" fillId="0" borderId="0" xfId="0" applyNumberFormat="1" applyFont="1" applyFill="1" applyBorder="1" applyProtection="1"/>
    <xf numFmtId="3" fontId="3" fillId="2" borderId="12" xfId="0" applyNumberFormat="1" applyFont="1" applyFill="1" applyBorder="1" applyProtection="1"/>
    <xf numFmtId="0" fontId="3" fillId="0" borderId="25" xfId="0" applyFont="1" applyBorder="1" applyAlignment="1" applyProtection="1">
      <alignment wrapText="1"/>
    </xf>
    <xf numFmtId="3" fontId="3" fillId="0" borderId="10" xfId="0" applyNumberFormat="1" applyFont="1" applyBorder="1" applyProtection="1"/>
    <xf numFmtId="0" fontId="3" fillId="0" borderId="10" xfId="0" applyFont="1" applyBorder="1" applyProtection="1"/>
    <xf numFmtId="3" fontId="3" fillId="0" borderId="10" xfId="0" applyNumberFormat="1" applyFont="1" applyFill="1" applyBorder="1" applyProtection="1"/>
    <xf numFmtId="3" fontId="3" fillId="2" borderId="26" xfId="0" applyNumberFormat="1" applyFont="1" applyFill="1" applyBorder="1" applyProtection="1"/>
    <xf numFmtId="0" fontId="13" fillId="2" borderId="3" xfId="0" applyFont="1" applyFill="1" applyBorder="1" applyAlignment="1" applyProtection="1">
      <alignment wrapText="1"/>
    </xf>
    <xf numFmtId="0" fontId="3" fillId="7" borderId="16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wrapText="1"/>
    </xf>
    <xf numFmtId="0" fontId="3" fillId="6" borderId="16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wrapText="1"/>
    </xf>
    <xf numFmtId="0" fontId="3" fillId="1" borderId="16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wrapText="1"/>
    </xf>
    <xf numFmtId="0" fontId="13" fillId="0" borderId="3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5" fillId="0" borderId="3" xfId="0" applyFont="1" applyFill="1" applyBorder="1" applyAlignment="1" applyProtection="1">
      <alignment wrapText="1"/>
    </xf>
    <xf numFmtId="0" fontId="5" fillId="1" borderId="16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wrapText="1"/>
    </xf>
    <xf numFmtId="0" fontId="5" fillId="1" borderId="17" xfId="0" applyFont="1" applyFill="1" applyBorder="1" applyAlignment="1" applyProtection="1">
      <alignment horizontal="center"/>
    </xf>
    <xf numFmtId="0" fontId="4" fillId="0" borderId="24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6" fillId="2" borderId="19" xfId="0" applyFont="1" applyFill="1" applyBorder="1" applyAlignment="1" applyProtection="1">
      <alignment wrapText="1"/>
    </xf>
    <xf numFmtId="0" fontId="5" fillId="0" borderId="19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Protection="1"/>
    <xf numFmtId="0" fontId="5" fillId="0" borderId="12" xfId="0" applyFont="1" applyBorder="1" applyAlignment="1" applyProtection="1">
      <alignment wrapText="1"/>
    </xf>
    <xf numFmtId="165" fontId="15" fillId="0" borderId="19" xfId="0" applyNumberFormat="1" applyFont="1" applyBorder="1" applyProtection="1"/>
    <xf numFmtId="165" fontId="15" fillId="0" borderId="0" xfId="0" applyNumberFormat="1" applyFont="1" applyBorder="1" applyProtection="1"/>
    <xf numFmtId="165" fontId="15" fillId="0" borderId="12" xfId="0" applyNumberFormat="1" applyFont="1" applyBorder="1" applyProtection="1"/>
    <xf numFmtId="165" fontId="15" fillId="0" borderId="4" xfId="0" applyNumberFormat="1" applyFont="1" applyBorder="1" applyProtection="1"/>
    <xf numFmtId="0" fontId="16" fillId="10" borderId="19" xfId="0" applyFont="1" applyFill="1" applyBorder="1" applyAlignment="1" applyProtection="1">
      <alignment horizontal="center"/>
    </xf>
    <xf numFmtId="0" fontId="16" fillId="10" borderId="20" xfId="0" applyFont="1" applyFill="1" applyBorder="1" applyAlignment="1" applyProtection="1">
      <alignment horizontal="center"/>
    </xf>
    <xf numFmtId="0" fontId="5" fillId="0" borderId="0" xfId="0" applyFont="1" applyBorder="1" applyAlignment="1">
      <alignment wrapText="1"/>
    </xf>
    <xf numFmtId="0" fontId="3" fillId="0" borderId="19" xfId="0" applyFont="1" applyBorder="1"/>
    <xf numFmtId="0" fontId="3" fillId="0" borderId="12" xfId="0" applyFont="1" applyBorder="1"/>
    <xf numFmtId="0" fontId="3" fillId="0" borderId="25" xfId="0" applyFont="1" applyBorder="1"/>
    <xf numFmtId="0" fontId="3" fillId="1" borderId="19" xfId="0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165" fontId="16" fillId="9" borderId="19" xfId="0" applyNumberFormat="1" applyFont="1" applyFill="1" applyBorder="1" applyProtection="1"/>
    <xf numFmtId="165" fontId="16" fillId="9" borderId="0" xfId="0" applyNumberFormat="1" applyFont="1" applyFill="1" applyBorder="1" applyProtection="1"/>
    <xf numFmtId="165" fontId="16" fillId="9" borderId="12" xfId="0" applyNumberFormat="1" applyFont="1" applyFill="1" applyBorder="1" applyProtection="1"/>
    <xf numFmtId="165" fontId="16" fillId="9" borderId="23" xfId="0" applyNumberFormat="1" applyFont="1" applyFill="1" applyBorder="1" applyProtection="1"/>
    <xf numFmtId="165" fontId="16" fillId="9" borderId="20" xfId="0" applyNumberFormat="1" applyFont="1" applyFill="1" applyBorder="1" applyProtection="1"/>
    <xf numFmtId="165" fontId="16" fillId="9" borderId="7" xfId="0" applyNumberFormat="1" applyFont="1" applyFill="1" applyBorder="1" applyProtection="1"/>
    <xf numFmtId="165" fontId="16" fillId="9" borderId="13" xfId="0" applyNumberFormat="1" applyFont="1" applyFill="1" applyBorder="1" applyProtection="1"/>
    <xf numFmtId="0" fontId="3" fillId="0" borderId="26" xfId="0" applyFont="1" applyBorder="1"/>
    <xf numFmtId="3" fontId="3" fillId="0" borderId="12" xfId="0" applyNumberFormat="1" applyFont="1" applyBorder="1" applyProtection="1"/>
    <xf numFmtId="3" fontId="3" fillId="0" borderId="26" xfId="0" applyNumberFormat="1" applyFont="1" applyBorder="1" applyProtection="1"/>
    <xf numFmtId="0" fontId="13" fillId="7" borderId="16" xfId="0" applyFont="1" applyFill="1" applyBorder="1" applyAlignment="1" applyProtection="1">
      <alignment horizontal="center"/>
    </xf>
    <xf numFmtId="0" fontId="3" fillId="0" borderId="27" xfId="0" applyFont="1" applyBorder="1"/>
    <xf numFmtId="0" fontId="3" fillId="0" borderId="21" xfId="0" applyFont="1" applyBorder="1"/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2" fontId="3" fillId="0" borderId="0" xfId="0" applyNumberFormat="1" applyFont="1" applyFill="1" applyBorder="1"/>
    <xf numFmtId="4" fontId="3" fillId="0" borderId="0" xfId="0" applyNumberFormat="1" applyFont="1" applyFill="1" applyBorder="1"/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3" fillId="0" borderId="19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168" fontId="3" fillId="0" borderId="0" xfId="0" applyNumberFormat="1" applyFont="1" applyFill="1" applyBorder="1" applyAlignment="1">
      <alignment horizontal="center" wrapText="1"/>
    </xf>
    <xf numFmtId="168" fontId="3" fillId="0" borderId="12" xfId="0" applyNumberFormat="1" applyFont="1" applyFill="1" applyBorder="1" applyAlignment="1">
      <alignment horizontal="center" wrapText="1"/>
    </xf>
    <xf numFmtId="0" fontId="6" fillId="0" borderId="19" xfId="0" applyFont="1" applyFill="1" applyBorder="1"/>
    <xf numFmtId="0" fontId="6" fillId="0" borderId="12" xfId="0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right"/>
    </xf>
    <xf numFmtId="0" fontId="6" fillId="0" borderId="0" xfId="0" applyFont="1" applyFill="1" applyBorder="1" applyAlignment="1"/>
    <xf numFmtId="165" fontId="15" fillId="0" borderId="6" xfId="0" applyNumberFormat="1" applyFont="1" applyBorder="1" applyProtection="1"/>
    <xf numFmtId="3" fontId="3" fillId="3" borderId="0" xfId="0" applyNumberFormat="1" applyFont="1" applyFill="1" applyBorder="1"/>
    <xf numFmtId="3" fontId="3" fillId="3" borderId="10" xfId="0" applyNumberFormat="1" applyFont="1" applyFill="1" applyBorder="1"/>
    <xf numFmtId="168" fontId="4" fillId="2" borderId="12" xfId="0" applyNumberFormat="1" applyFont="1" applyFill="1" applyBorder="1" applyAlignment="1">
      <alignment horizontal="center" wrapText="1"/>
    </xf>
    <xf numFmtId="168" fontId="5" fillId="2" borderId="26" xfId="0" applyNumberFormat="1" applyFont="1" applyFill="1" applyBorder="1"/>
    <xf numFmtId="0" fontId="3" fillId="4" borderId="10" xfId="0" applyFont="1" applyFill="1" applyBorder="1"/>
    <xf numFmtId="0" fontId="3" fillId="4" borderId="0" xfId="0" applyFont="1" applyFill="1" applyBorder="1"/>
    <xf numFmtId="0" fontId="3" fillId="4" borderId="4" xfId="0" applyFont="1" applyFill="1" applyBorder="1"/>
    <xf numFmtId="3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168" fontId="4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0" borderId="27" xfId="0" applyFont="1" applyFill="1" applyBorder="1"/>
    <xf numFmtId="0" fontId="6" fillId="0" borderId="12" xfId="0" applyFont="1" applyFill="1" applyBorder="1" applyAlignment="1">
      <alignment wrapText="1"/>
    </xf>
    <xf numFmtId="3" fontId="3" fillId="2" borderId="10" xfId="0" applyNumberFormat="1" applyFont="1" applyFill="1" applyBorder="1"/>
    <xf numFmtId="0" fontId="5" fillId="0" borderId="24" xfId="0" applyFont="1" applyFill="1" applyBorder="1" applyAlignment="1">
      <alignment horizontal="left"/>
    </xf>
    <xf numFmtId="0" fontId="13" fillId="0" borderId="3" xfId="0" applyFont="1" applyFill="1" applyBorder="1" applyAlignment="1">
      <alignment wrapText="1"/>
    </xf>
    <xf numFmtId="9" fontId="3" fillId="2" borderId="0" xfId="2" applyFont="1" applyFill="1" applyBorder="1" applyAlignment="1" applyProtection="1">
      <alignment horizontal="center"/>
    </xf>
    <xf numFmtId="165" fontId="3" fillId="0" borderId="19" xfId="0" applyNumberFormat="1" applyFont="1" applyBorder="1" applyProtection="1"/>
    <xf numFmtId="165" fontId="3" fillId="0" borderId="0" xfId="0" applyNumberFormat="1" applyFont="1" applyBorder="1" applyProtection="1"/>
    <xf numFmtId="165" fontId="3" fillId="0" borderId="12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0" xfId="1" applyNumberFormat="1" applyFont="1" applyFill="1" applyBorder="1" applyAlignment="1" applyProtection="1">
      <alignment horizontal="center"/>
    </xf>
    <xf numFmtId="165" fontId="3" fillId="0" borderId="12" xfId="1" applyNumberFormat="1" applyFont="1" applyFill="1" applyBorder="1" applyAlignment="1" applyProtection="1">
      <alignment horizontal="center"/>
    </xf>
    <xf numFmtId="165" fontId="3" fillId="0" borderId="6" xfId="0" applyNumberFormat="1" applyFont="1" applyBorder="1" applyProtection="1"/>
    <xf numFmtId="165" fontId="3" fillId="0" borderId="4" xfId="1" applyNumberFormat="1" applyFont="1" applyFill="1" applyBorder="1" applyAlignment="1" applyProtection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3" fillId="7" borderId="19" xfId="0" applyFont="1" applyFill="1" applyBorder="1" applyAlignment="1" applyProtection="1">
      <alignment horizontal="center"/>
    </xf>
    <xf numFmtId="0" fontId="13" fillId="6" borderId="16" xfId="0" applyFont="1" applyFill="1" applyBorder="1" applyAlignment="1" applyProtection="1">
      <alignment horizontal="center"/>
    </xf>
    <xf numFmtId="0" fontId="13" fillId="12" borderId="3" xfId="0" applyFont="1" applyFill="1" applyBorder="1" applyAlignment="1" applyProtection="1">
      <alignment wrapText="1"/>
    </xf>
    <xf numFmtId="0" fontId="13" fillId="13" borderId="16" xfId="0" applyFont="1" applyFill="1" applyBorder="1" applyAlignment="1" applyProtection="1">
      <alignment horizontal="center"/>
    </xf>
    <xf numFmtId="0" fontId="13" fillId="13" borderId="19" xfId="0" applyFont="1" applyFill="1" applyBorder="1" applyAlignment="1" applyProtection="1">
      <alignment horizontal="center"/>
    </xf>
    <xf numFmtId="0" fontId="3" fillId="2" borderId="0" xfId="0" applyFont="1" applyFill="1" applyBorder="1"/>
    <xf numFmtId="0" fontId="13" fillId="2" borderId="14" xfId="0" applyFont="1" applyFill="1" applyBorder="1" applyAlignment="1" applyProtection="1">
      <alignment wrapText="1"/>
    </xf>
    <xf numFmtId="0" fontId="3" fillId="0" borderId="14" xfId="0" applyFont="1" applyFill="1" applyBorder="1" applyAlignment="1">
      <alignment wrapText="1"/>
    </xf>
    <xf numFmtId="0" fontId="3" fillId="3" borderId="14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0" borderId="14" xfId="0" applyFont="1" applyBorder="1" applyAlignment="1">
      <alignment wrapText="1"/>
    </xf>
    <xf numFmtId="3" fontId="3" fillId="3" borderId="19" xfId="0" applyNumberFormat="1" applyFont="1" applyFill="1" applyBorder="1"/>
    <xf numFmtId="165" fontId="3" fillId="0" borderId="19" xfId="0" applyNumberFormat="1" applyFont="1" applyBorder="1"/>
    <xf numFmtId="165" fontId="3" fillId="0" borderId="0" xfId="0" applyNumberFormat="1" applyFont="1" applyBorder="1"/>
    <xf numFmtId="165" fontId="3" fillId="0" borderId="12" xfId="0" applyNumberFormat="1" applyFont="1" applyBorder="1"/>
    <xf numFmtId="165" fontId="3" fillId="0" borderId="4" xfId="0" applyNumberFormat="1" applyFont="1" applyBorder="1"/>
    <xf numFmtId="165" fontId="3" fillId="0" borderId="20" xfId="0" applyNumberFormat="1" applyFont="1" applyBorder="1"/>
    <xf numFmtId="165" fontId="3" fillId="0" borderId="7" xfId="0" applyNumberFormat="1" applyFont="1" applyBorder="1"/>
    <xf numFmtId="165" fontId="3" fillId="0" borderId="13" xfId="0" applyNumberFormat="1" applyFont="1" applyBorder="1"/>
    <xf numFmtId="165" fontId="3" fillId="0" borderId="6" xfId="0" applyNumberFormat="1" applyFont="1" applyBorder="1"/>
    <xf numFmtId="0" fontId="3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13" fillId="7" borderId="0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/>
    </xf>
    <xf numFmtId="0" fontId="13" fillId="11" borderId="0" xfId="0" applyFont="1" applyFill="1" applyBorder="1" applyAlignment="1" applyProtection="1">
      <alignment horizontal="center"/>
    </xf>
    <xf numFmtId="0" fontId="3" fillId="11" borderId="19" xfId="0" applyFont="1" applyFill="1" applyBorder="1"/>
    <xf numFmtId="0" fontId="3" fillId="11" borderId="0" xfId="0" applyFont="1" applyFill="1" applyBorder="1"/>
    <xf numFmtId="0" fontId="3" fillId="11" borderId="12" xfId="0" applyFont="1" applyFill="1" applyBorder="1"/>
    <xf numFmtId="0" fontId="3" fillId="11" borderId="4" xfId="0" applyFont="1" applyFill="1" applyBorder="1"/>
    <xf numFmtId="0" fontId="3" fillId="0" borderId="14" xfId="0" applyFont="1" applyFill="1" applyBorder="1" applyAlignment="1">
      <alignment horizontal="left" wrapText="1"/>
    </xf>
    <xf numFmtId="0" fontId="3" fillId="13" borderId="16" xfId="0" applyFont="1" applyFill="1" applyBorder="1" applyAlignment="1" applyProtection="1">
      <alignment horizontal="center"/>
    </xf>
    <xf numFmtId="0" fontId="3" fillId="13" borderId="19" xfId="0" applyFont="1" applyFill="1" applyBorder="1" applyAlignment="1" applyProtection="1">
      <alignment horizontal="center"/>
    </xf>
    <xf numFmtId="0" fontId="17" fillId="0" borderId="3" xfId="0" applyFont="1" applyFill="1" applyBorder="1" applyAlignment="1">
      <alignment wrapText="1"/>
    </xf>
    <xf numFmtId="165" fontId="5" fillId="0" borderId="0" xfId="0" applyNumberFormat="1" applyFont="1" applyBorder="1" applyProtection="1"/>
    <xf numFmtId="165" fontId="5" fillId="0" borderId="16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164" fontId="3" fillId="0" borderId="0" xfId="0" applyNumberFormat="1" applyFont="1" applyBorder="1"/>
    <xf numFmtId="165" fontId="5" fillId="0" borderId="0" xfId="0" applyNumberFormat="1" applyFont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0" fontId="3" fillId="7" borderId="1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wrapText="1"/>
    </xf>
    <xf numFmtId="0" fontId="3" fillId="0" borderId="27" xfId="0" applyFont="1" applyFill="1" applyBorder="1"/>
    <xf numFmtId="0" fontId="5" fillId="0" borderId="12" xfId="0" applyFont="1" applyFill="1" applyBorder="1"/>
    <xf numFmtId="3" fontId="3" fillId="0" borderId="1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12" xfId="0" applyNumberFormat="1" applyFont="1" applyFill="1" applyBorder="1" applyAlignment="1" applyProtection="1">
      <alignment horizontal="right" vertical="top"/>
    </xf>
    <xf numFmtId="3" fontId="3" fillId="0" borderId="4" xfId="0" applyNumberFormat="1" applyFont="1" applyFill="1" applyBorder="1" applyAlignment="1" applyProtection="1">
      <alignment horizontal="right" vertical="top"/>
    </xf>
    <xf numFmtId="3" fontId="3" fillId="0" borderId="8" xfId="0" applyNumberFormat="1" applyFont="1" applyFill="1" applyBorder="1" applyAlignment="1" applyProtection="1">
      <alignment horizontal="center" vertical="top"/>
    </xf>
    <xf numFmtId="3" fontId="3" fillId="0" borderId="23" xfId="0" applyNumberFormat="1" applyFont="1" applyFill="1" applyBorder="1" applyAlignment="1" applyProtection="1">
      <alignment horizontal="center" vertical="top"/>
    </xf>
    <xf numFmtId="3" fontId="3" fillId="0" borderId="2" xfId="0" applyNumberFormat="1" applyFont="1" applyFill="1" applyBorder="1" applyAlignment="1" applyProtection="1">
      <alignment horizontal="center" vertical="top"/>
    </xf>
    <xf numFmtId="3" fontId="19" fillId="9" borderId="0" xfId="0" applyNumberFormat="1" applyFont="1" applyFill="1" applyBorder="1" applyAlignment="1" applyProtection="1">
      <alignment horizontal="right" vertical="top"/>
    </xf>
    <xf numFmtId="3" fontId="19" fillId="9" borderId="12" xfId="0" applyNumberFormat="1" applyFont="1" applyFill="1" applyBorder="1" applyAlignment="1" applyProtection="1">
      <alignment horizontal="right" vertical="top"/>
    </xf>
    <xf numFmtId="3" fontId="19" fillId="9" borderId="4" xfId="0" applyNumberFormat="1" applyFont="1" applyFill="1" applyBorder="1" applyAlignment="1" applyProtection="1">
      <alignment horizontal="right" vertical="top"/>
    </xf>
    <xf numFmtId="3" fontId="19" fillId="9" borderId="7" xfId="0" applyNumberFormat="1" applyFont="1" applyFill="1" applyBorder="1" applyAlignment="1" applyProtection="1">
      <alignment horizontal="right" vertical="top"/>
    </xf>
    <xf numFmtId="3" fontId="19" fillId="9" borderId="13" xfId="0" applyNumberFormat="1" applyFont="1" applyFill="1" applyBorder="1" applyAlignment="1" applyProtection="1">
      <alignment horizontal="right" vertical="top"/>
    </xf>
    <xf numFmtId="3" fontId="19" fillId="9" borderId="6" xfId="0" applyNumberFormat="1" applyFont="1" applyFill="1" applyBorder="1" applyAlignment="1" applyProtection="1">
      <alignment horizontal="right" vertical="top"/>
    </xf>
    <xf numFmtId="3" fontId="3" fillId="0" borderId="8" xfId="0" applyNumberFormat="1" applyFont="1" applyFill="1" applyBorder="1" applyAlignment="1" applyProtection="1">
      <alignment horizontal="right" vertical="top"/>
    </xf>
    <xf numFmtId="3" fontId="3" fillId="0" borderId="23" xfId="0" applyNumberFormat="1" applyFont="1" applyFill="1" applyBorder="1" applyAlignment="1" applyProtection="1">
      <alignment horizontal="right" vertical="top"/>
    </xf>
    <xf numFmtId="3" fontId="3" fillId="0" borderId="2" xfId="0" applyNumberFormat="1" applyFont="1" applyFill="1" applyBorder="1" applyAlignment="1" applyProtection="1">
      <alignment horizontal="right" vertical="top"/>
    </xf>
    <xf numFmtId="1" fontId="3" fillId="12" borderId="19" xfId="2" applyNumberFormat="1" applyFont="1" applyFill="1" applyBorder="1" applyAlignment="1" applyProtection="1">
      <alignment horizontal="right" vertical="top"/>
    </xf>
    <xf numFmtId="1" fontId="3" fillId="12" borderId="0" xfId="2" applyNumberFormat="1" applyFont="1" applyFill="1" applyBorder="1" applyAlignment="1" applyProtection="1">
      <alignment horizontal="right" vertical="top"/>
    </xf>
    <xf numFmtId="1" fontId="3" fillId="12" borderId="12" xfId="2" applyNumberFormat="1" applyFont="1" applyFill="1" applyBorder="1" applyAlignment="1" applyProtection="1">
      <alignment horizontal="right" vertical="top"/>
    </xf>
    <xf numFmtId="1" fontId="3" fillId="12" borderId="4" xfId="2" applyNumberFormat="1" applyFont="1" applyFill="1" applyBorder="1" applyAlignment="1" applyProtection="1">
      <alignment horizontal="right" vertical="top"/>
    </xf>
    <xf numFmtId="3" fontId="3" fillId="12" borderId="19" xfId="0" applyNumberFormat="1" applyFont="1" applyFill="1" applyBorder="1" applyAlignment="1" applyProtection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</xf>
    <xf numFmtId="3" fontId="3" fillId="12" borderId="12" xfId="0" applyNumberFormat="1" applyFont="1" applyFill="1" applyBorder="1" applyAlignment="1" applyProtection="1">
      <alignment horizontal="right" vertical="top"/>
    </xf>
    <xf numFmtId="3" fontId="3" fillId="12" borderId="4" xfId="0" applyNumberFormat="1" applyFont="1" applyFill="1" applyBorder="1" applyAlignment="1" applyProtection="1">
      <alignment horizontal="right" vertical="top"/>
    </xf>
    <xf numFmtId="3" fontId="3" fillId="2" borderId="19" xfId="0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8" borderId="12" xfId="2" applyNumberFormat="1" applyFont="1" applyFill="1" applyBorder="1" applyAlignment="1" applyProtection="1">
      <alignment horizontal="right" vertical="top"/>
    </xf>
    <xf numFmtId="3" fontId="3" fillId="8" borderId="12" xfId="0" applyNumberFormat="1" applyFont="1" applyFill="1" applyBorder="1" applyAlignment="1" applyProtection="1">
      <alignment horizontal="right" vertical="top"/>
    </xf>
    <xf numFmtId="3" fontId="3" fillId="8" borderId="4" xfId="0" applyNumberFormat="1" applyFont="1" applyFill="1" applyBorder="1" applyAlignment="1" applyProtection="1">
      <alignment horizontal="right" vertical="top"/>
    </xf>
    <xf numFmtId="9" fontId="3" fillId="2" borderId="19" xfId="2" applyFont="1" applyFill="1" applyBorder="1" applyAlignment="1" applyProtection="1">
      <alignment horizontal="right" vertical="top"/>
    </xf>
    <xf numFmtId="9" fontId="3" fillId="2" borderId="0" xfId="2" applyFont="1" applyFill="1" applyBorder="1" applyAlignment="1" applyProtection="1">
      <alignment horizontal="right" vertical="top"/>
    </xf>
    <xf numFmtId="9" fontId="3" fillId="8" borderId="12" xfId="2" applyFont="1" applyFill="1" applyBorder="1" applyAlignment="1" applyProtection="1">
      <alignment horizontal="right" vertical="top"/>
    </xf>
    <xf numFmtId="9" fontId="3" fillId="8" borderId="4" xfId="2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19" xfId="0" applyNumberFormat="1" applyFont="1" applyFill="1" applyBorder="1" applyAlignment="1" applyProtection="1">
      <alignment horizontal="right" vertical="top"/>
    </xf>
    <xf numFmtId="3" fontId="3" fillId="4" borderId="4" xfId="0" applyNumberFormat="1" applyFont="1" applyFill="1" applyBorder="1" applyAlignment="1" applyProtection="1">
      <alignment horizontal="right" vertical="top"/>
    </xf>
    <xf numFmtId="9" fontId="3" fillId="3" borderId="10" xfId="2" applyFont="1" applyFill="1" applyBorder="1" applyAlignment="1">
      <alignment horizontal="right"/>
    </xf>
    <xf numFmtId="9" fontId="3" fillId="4" borderId="26" xfId="2" applyFont="1" applyFill="1" applyBorder="1" applyAlignment="1">
      <alignment horizontal="right"/>
    </xf>
    <xf numFmtId="9" fontId="3" fillId="3" borderId="10" xfId="2" applyFont="1" applyFill="1" applyBorder="1" applyAlignment="1">
      <alignment horizontal="right" vertical="top"/>
    </xf>
    <xf numFmtId="9" fontId="3" fillId="4" borderId="26" xfId="2" applyFont="1" applyFill="1" applyBorder="1" applyAlignment="1">
      <alignment horizontal="right" vertical="top"/>
    </xf>
    <xf numFmtId="9" fontId="3" fillId="4" borderId="12" xfId="2" applyFont="1" applyFill="1" applyBorder="1" applyAlignment="1" applyProtection="1">
      <alignment horizontal="right" vertical="top"/>
    </xf>
    <xf numFmtId="0" fontId="3" fillId="0" borderId="0" xfId="0" applyFont="1" applyFill="1" applyBorder="1" applyProtection="1"/>
    <xf numFmtId="0" fontId="4" fillId="0" borderId="2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3" fillId="0" borderId="14" xfId="0" applyFont="1" applyFill="1" applyBorder="1" applyProtection="1"/>
    <xf numFmtId="0" fontId="3" fillId="0" borderId="16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4" fillId="5" borderId="15" xfId="0" applyFont="1" applyFill="1" applyBorder="1" applyProtection="1"/>
    <xf numFmtId="165" fontId="14" fillId="5" borderId="7" xfId="1" applyNumberFormat="1" applyFont="1" applyFill="1" applyBorder="1" applyAlignment="1" applyProtection="1">
      <alignment horizontal="center"/>
    </xf>
    <xf numFmtId="165" fontId="14" fillId="5" borderId="13" xfId="1" applyNumberFormat="1" applyFont="1" applyFill="1" applyBorder="1" applyAlignment="1" applyProtection="1">
      <alignment horizontal="center"/>
    </xf>
    <xf numFmtId="165" fontId="14" fillId="5" borderId="6" xfId="1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14" fillId="5" borderId="17" xfId="0" applyFont="1" applyFill="1" applyBorder="1" applyAlignment="1" applyProtection="1">
      <alignment horizontal="center"/>
    </xf>
    <xf numFmtId="0" fontId="4" fillId="0" borderId="24" xfId="0" applyFont="1" applyFill="1" applyBorder="1" applyProtection="1"/>
    <xf numFmtId="0" fontId="3" fillId="0" borderId="27" xfId="0" applyFont="1" applyFill="1" applyBorder="1" applyProtection="1"/>
    <xf numFmtId="0" fontId="3" fillId="0" borderId="21" xfId="0" applyFont="1" applyFill="1" applyBorder="1" applyProtection="1"/>
    <xf numFmtId="0" fontId="4" fillId="0" borderId="19" xfId="0" applyFont="1" applyFill="1" applyBorder="1" applyProtection="1"/>
    <xf numFmtId="1" fontId="3" fillId="2" borderId="0" xfId="2" applyNumberFormat="1" applyFont="1" applyFill="1" applyBorder="1" applyAlignment="1" applyProtection="1">
      <alignment horizontal="right"/>
    </xf>
    <xf numFmtId="0" fontId="3" fillId="2" borderId="19" xfId="0" applyFont="1" applyFill="1" applyBorder="1" applyProtection="1"/>
    <xf numFmtId="0" fontId="3" fillId="2" borderId="19" xfId="0" applyFont="1" applyFill="1" applyBorder="1" applyAlignment="1" applyProtection="1">
      <alignment horizontal="right" wrapText="1"/>
    </xf>
    <xf numFmtId="9" fontId="3" fillId="2" borderId="0" xfId="2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5" fillId="0" borderId="12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2" borderId="25" xfId="0" applyFont="1" applyFill="1" applyBorder="1" applyProtection="1"/>
    <xf numFmtId="9" fontId="3" fillId="2" borderId="10" xfId="2" applyFont="1" applyFill="1" applyBorder="1" applyAlignment="1" applyProtection="1">
      <alignment horizontal="right"/>
    </xf>
    <xf numFmtId="9" fontId="3" fillId="0" borderId="0" xfId="2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3" borderId="19" xfId="0" applyFont="1" applyFill="1" applyBorder="1" applyAlignment="1" applyProtection="1">
      <alignment wrapText="1"/>
    </xf>
    <xf numFmtId="9" fontId="3" fillId="3" borderId="0" xfId="2" applyFont="1" applyFill="1" applyBorder="1" applyAlignment="1" applyProtection="1">
      <alignment horizontal="right" vertical="top"/>
    </xf>
    <xf numFmtId="9" fontId="3" fillId="3" borderId="0" xfId="0" applyNumberFormat="1" applyFont="1" applyFill="1" applyBorder="1" applyAlignment="1" applyProtection="1">
      <alignment horizontal="right" vertical="top"/>
    </xf>
    <xf numFmtId="9" fontId="3" fillId="0" borderId="0" xfId="0" applyNumberFormat="1" applyFont="1" applyFill="1" applyBorder="1" applyAlignment="1" applyProtection="1">
      <alignment horizontal="left"/>
    </xf>
    <xf numFmtId="0" fontId="13" fillId="3" borderId="19" xfId="0" applyFont="1" applyFill="1" applyBorder="1" applyAlignment="1" applyProtection="1">
      <alignment horizontal="left" wrapText="1"/>
    </xf>
    <xf numFmtId="2" fontId="13" fillId="3" borderId="0" xfId="0" applyNumberFormat="1" applyFont="1" applyFill="1" applyBorder="1" applyAlignment="1" applyProtection="1">
      <alignment horizontal="right" vertical="top"/>
    </xf>
    <xf numFmtId="9" fontId="3" fillId="3" borderId="10" xfId="2" applyFont="1" applyFill="1" applyBorder="1" applyAlignment="1" applyProtection="1">
      <alignment horizontal="right" vertical="top"/>
    </xf>
    <xf numFmtId="9" fontId="3" fillId="3" borderId="10" xfId="0" applyNumberFormat="1" applyFont="1" applyFill="1" applyBorder="1" applyAlignment="1" applyProtection="1">
      <alignment horizontal="right" vertical="top"/>
    </xf>
    <xf numFmtId="0" fontId="4" fillId="0" borderId="27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Fill="1" applyBorder="1" applyAlignment="1" applyProtection="1">
      <alignment wrapText="1"/>
    </xf>
    <xf numFmtId="0" fontId="3" fillId="1" borderId="17" xfId="0" applyFont="1" applyFill="1" applyBorder="1" applyAlignment="1" applyProtection="1">
      <alignment horizontal="center"/>
    </xf>
    <xf numFmtId="165" fontId="15" fillId="0" borderId="20" xfId="0" applyNumberFormat="1" applyFont="1" applyBorder="1" applyProtection="1"/>
    <xf numFmtId="165" fontId="15" fillId="0" borderId="7" xfId="0" applyNumberFormat="1" applyFont="1" applyBorder="1" applyProtection="1"/>
    <xf numFmtId="165" fontId="15" fillId="0" borderId="13" xfId="0" applyNumberFormat="1" applyFont="1" applyBorder="1" applyProtection="1"/>
    <xf numFmtId="0" fontId="3" fillId="0" borderId="0" xfId="0" applyFont="1" applyBorder="1" applyAlignment="1" applyProtection="1">
      <alignment wrapText="1"/>
    </xf>
    <xf numFmtId="9" fontId="3" fillId="0" borderId="0" xfId="2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3" fillId="0" borderId="0" xfId="0" applyFont="1" applyAlignment="1" applyProtection="1">
      <alignment wrapText="1"/>
    </xf>
    <xf numFmtId="3" fontId="3" fillId="0" borderId="0" xfId="0" applyNumberFormat="1" applyFont="1" applyFill="1" applyProtection="1"/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3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3" fontId="3" fillId="2" borderId="0" xfId="0" applyNumberFormat="1" applyFont="1" applyFill="1" applyBorder="1" applyAlignment="1" applyProtection="1"/>
    <xf numFmtId="3" fontId="3" fillId="0" borderId="10" xfId="0" applyNumberFormat="1" applyFont="1" applyBorder="1" applyAlignment="1" applyProtection="1"/>
    <xf numFmtId="0" fontId="3" fillId="0" borderId="10" xfId="0" applyFont="1" applyBorder="1" applyAlignment="1" applyProtection="1"/>
    <xf numFmtId="3" fontId="3" fillId="2" borderId="10" xfId="0" applyNumberFormat="1" applyFont="1" applyFill="1" applyBorder="1" applyAlignment="1" applyProtection="1"/>
    <xf numFmtId="1" fontId="3" fillId="2" borderId="0" xfId="2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/>
    </xf>
    <xf numFmtId="167" fontId="3" fillId="2" borderId="0" xfId="2" applyNumberFormat="1" applyFont="1" applyFill="1" applyBorder="1" applyAlignment="1" applyProtection="1">
      <alignment horizontal="right" vertical="top"/>
    </xf>
    <xf numFmtId="167" fontId="3" fillId="8" borderId="12" xfId="2" applyNumberFormat="1" applyFont="1" applyFill="1" applyBorder="1" applyAlignment="1" applyProtection="1">
      <alignment horizontal="right" vertical="top"/>
    </xf>
    <xf numFmtId="3" fontId="3" fillId="2" borderId="10" xfId="0" applyNumberFormat="1" applyFont="1" applyFill="1" applyBorder="1" applyAlignment="1" applyProtection="1">
      <alignment horizontal="right" vertical="top"/>
    </xf>
    <xf numFmtId="9" fontId="3" fillId="3" borderId="10" xfId="2" applyFont="1" applyFill="1" applyBorder="1" applyAlignment="1" applyProtection="1">
      <alignment horizontal="right"/>
    </xf>
    <xf numFmtId="9" fontId="3" fillId="4" borderId="26" xfId="2" applyFont="1" applyFill="1" applyBorder="1" applyAlignment="1" applyProtection="1">
      <alignment horizontal="right"/>
    </xf>
    <xf numFmtId="0" fontId="3" fillId="7" borderId="16" xfId="0" applyFont="1" applyFill="1" applyBorder="1" applyAlignment="1" applyProtection="1">
      <alignment horizontal="right" vertical="top"/>
    </xf>
    <xf numFmtId="0" fontId="3" fillId="6" borderId="16" xfId="0" applyFont="1" applyFill="1" applyBorder="1" applyAlignment="1" applyProtection="1">
      <alignment horizontal="right" vertical="top"/>
    </xf>
    <xf numFmtId="0" fontId="3" fillId="1" borderId="16" xfId="0" applyFont="1" applyFill="1" applyBorder="1" applyAlignment="1" applyProtection="1">
      <alignment horizontal="right" vertical="top"/>
    </xf>
    <xf numFmtId="9" fontId="3" fillId="3" borderId="19" xfId="0" applyNumberFormat="1" applyFont="1" applyFill="1" applyBorder="1" applyAlignment="1" applyProtection="1">
      <alignment horizontal="right" vertical="top"/>
    </xf>
    <xf numFmtId="9" fontId="3" fillId="4" borderId="4" xfId="0" applyNumberFormat="1" applyFont="1" applyFill="1" applyBorder="1" applyAlignment="1" applyProtection="1">
      <alignment horizontal="right" vertical="top"/>
    </xf>
    <xf numFmtId="0" fontId="3" fillId="0" borderId="19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right" vertical="top"/>
    </xf>
    <xf numFmtId="0" fontId="3" fillId="0" borderId="4" xfId="0" applyFont="1" applyBorder="1" applyAlignment="1" applyProtection="1">
      <alignment horizontal="right" vertical="top"/>
    </xf>
    <xf numFmtId="165" fontId="3" fillId="0" borderId="0" xfId="1" applyNumberFormat="1" applyFont="1" applyFill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/>
    </xf>
    <xf numFmtId="0" fontId="3" fillId="0" borderId="19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3" fillId="0" borderId="12" xfId="1" applyNumberFormat="1" applyFont="1" applyFill="1" applyBorder="1" applyAlignment="1" applyProtection="1">
      <alignment horizontal="right" vertical="top"/>
    </xf>
    <xf numFmtId="0" fontId="3" fillId="0" borderId="4" xfId="1" applyNumberFormat="1" applyFont="1" applyFill="1" applyBorder="1" applyAlignment="1" applyProtection="1">
      <alignment horizontal="right" vertical="top"/>
    </xf>
    <xf numFmtId="0" fontId="3" fillId="0" borderId="27" xfId="0" applyFont="1" applyBorder="1" applyProtection="1"/>
    <xf numFmtId="0" fontId="3" fillId="0" borderId="21" xfId="0" applyFont="1" applyBorder="1" applyProtection="1"/>
    <xf numFmtId="0" fontId="4" fillId="0" borderId="19" xfId="0" applyFont="1" applyFill="1" applyBorder="1" applyAlignment="1" applyProtection="1">
      <alignment wrapText="1"/>
    </xf>
    <xf numFmtId="0" fontId="3" fillId="0" borderId="12" xfId="0" applyFont="1" applyBorder="1" applyProtection="1"/>
    <xf numFmtId="3" fontId="3" fillId="4" borderId="26" xfId="0" applyNumberFormat="1" applyFont="1" applyFill="1" applyBorder="1" applyAlignment="1" applyProtection="1">
      <alignment horizontal="right"/>
    </xf>
    <xf numFmtId="0" fontId="4" fillId="0" borderId="19" xfId="0" applyFont="1" applyFill="1" applyBorder="1" applyAlignment="1">
      <alignment wrapText="1"/>
    </xf>
    <xf numFmtId="3" fontId="3" fillId="8" borderId="26" xfId="2" applyNumberFormat="1" applyFont="1" applyFill="1" applyBorder="1" applyAlignment="1" applyProtection="1">
      <alignment horizontal="right" vertical="top"/>
    </xf>
    <xf numFmtId="165" fontId="16" fillId="9" borderId="16" xfId="0" applyNumberFormat="1" applyFont="1" applyFill="1" applyBorder="1" applyAlignment="1" applyProtection="1">
      <alignment horizontal="right" vertical="top"/>
    </xf>
    <xf numFmtId="165" fontId="16" fillId="9" borderId="17" xfId="0" applyNumberFormat="1" applyFont="1" applyFill="1" applyBorder="1" applyAlignment="1" applyProtection="1">
      <alignment horizontal="right" vertical="top"/>
    </xf>
    <xf numFmtId="9" fontId="3" fillId="4" borderId="0" xfId="2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165" fontId="3" fillId="0" borderId="20" xfId="0" applyNumberFormat="1" applyFont="1" applyBorder="1" applyProtection="1"/>
    <xf numFmtId="165" fontId="3" fillId="0" borderId="7" xfId="0" applyNumberFormat="1" applyFont="1" applyBorder="1" applyProtection="1"/>
    <xf numFmtId="165" fontId="3" fillId="0" borderId="13" xfId="0" applyNumberFormat="1" applyFont="1" applyBorder="1" applyProtection="1"/>
    <xf numFmtId="9" fontId="3" fillId="2" borderId="0" xfId="2" applyFont="1" applyFill="1" applyBorder="1" applyAlignment="1" applyProtection="1">
      <alignment wrapText="1"/>
    </xf>
    <xf numFmtId="0" fontId="3" fillId="8" borderId="12" xfId="0" applyFont="1" applyFill="1" applyBorder="1" applyAlignment="1" applyProtection="1">
      <alignment horizontal="right" vertical="top"/>
    </xf>
    <xf numFmtId="3" fontId="3" fillId="2" borderId="10" xfId="2" applyNumberFormat="1" applyFont="1" applyFill="1" applyBorder="1" applyAlignment="1" applyProtection="1">
      <alignment horizontal="right" vertical="top"/>
    </xf>
    <xf numFmtId="0" fontId="4" fillId="0" borderId="24" xfId="0" applyFont="1" applyBorder="1" applyAlignment="1" applyProtection="1">
      <alignment wrapText="1"/>
    </xf>
    <xf numFmtId="0" fontId="5" fillId="0" borderId="27" xfId="0" applyFont="1" applyBorder="1" applyAlignment="1" applyProtection="1">
      <alignment horizontal="center" wrapText="1"/>
    </xf>
    <xf numFmtId="0" fontId="5" fillId="0" borderId="27" xfId="0" applyFont="1" applyBorder="1" applyAlignment="1" applyProtection="1">
      <alignment horizontal="center"/>
    </xf>
    <xf numFmtId="0" fontId="3" fillId="0" borderId="19" xfId="0" applyFont="1" applyBorder="1" applyProtection="1"/>
    <xf numFmtId="0" fontId="3" fillId="0" borderId="25" xfId="0" applyFont="1" applyBorder="1" applyProtection="1"/>
    <xf numFmtId="0" fontId="17" fillId="0" borderId="3" xfId="0" applyFont="1" applyFill="1" applyBorder="1" applyAlignment="1" applyProtection="1">
      <alignment wrapText="1"/>
    </xf>
    <xf numFmtId="164" fontId="5" fillId="0" borderId="16" xfId="0" applyNumberFormat="1" applyFont="1" applyFill="1" applyBorder="1" applyAlignment="1" applyProtection="1">
      <alignment horizontal="center"/>
    </xf>
    <xf numFmtId="164" fontId="5" fillId="0" borderId="17" xfId="0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13" fillId="0" borderId="0" xfId="1" applyNumberFormat="1" applyFont="1" applyFill="1" applyBorder="1" applyAlignment="1" applyProtection="1">
      <alignment horizontal="center"/>
    </xf>
    <xf numFmtId="164" fontId="3" fillId="0" borderId="0" xfId="0" applyNumberFormat="1" applyFont="1" applyBorder="1" applyProtection="1"/>
    <xf numFmtId="0" fontId="5" fillId="0" borderId="0" xfId="0" applyFont="1" applyFill="1" applyBorder="1" applyAlignment="1" applyProtection="1">
      <alignment horizontal="center"/>
    </xf>
    <xf numFmtId="9" fontId="3" fillId="2" borderId="0" xfId="2" applyFont="1" applyFill="1" applyBorder="1" applyAlignment="1">
      <alignment horizontal="right" vertical="top"/>
    </xf>
    <xf numFmtId="3" fontId="3" fillId="12" borderId="12" xfId="2" applyNumberFormat="1" applyFont="1" applyFill="1" applyBorder="1" applyAlignment="1" applyProtection="1">
      <alignment horizontal="right" vertical="top"/>
    </xf>
    <xf numFmtId="0" fontId="3" fillId="12" borderId="19" xfId="0" applyFont="1" applyFill="1" applyBorder="1" applyAlignment="1" applyProtection="1">
      <alignment horizontal="right" vertical="top"/>
    </xf>
    <xf numFmtId="0" fontId="3" fillId="12" borderId="0" xfId="0" applyFont="1" applyFill="1" applyBorder="1" applyAlignment="1" applyProtection="1">
      <alignment horizontal="right" vertical="top"/>
    </xf>
    <xf numFmtId="0" fontId="3" fillId="12" borderId="4" xfId="0" applyFont="1" applyFill="1" applyBorder="1" applyAlignment="1" applyProtection="1">
      <alignment horizontal="right" vertical="top"/>
    </xf>
    <xf numFmtId="165" fontId="5" fillId="0" borderId="0" xfId="1" applyNumberFormat="1" applyFont="1" applyFill="1" applyBorder="1" applyAlignment="1" applyProtection="1">
      <alignment horizontal="right" vertical="top"/>
    </xf>
    <xf numFmtId="9" fontId="3" fillId="3" borderId="19" xfId="2" applyFont="1" applyFill="1" applyBorder="1" applyAlignment="1" applyProtection="1">
      <alignment horizontal="right" vertical="top"/>
    </xf>
    <xf numFmtId="9" fontId="3" fillId="4" borderId="4" xfId="2" applyFont="1" applyFill="1" applyBorder="1" applyAlignment="1" applyProtection="1">
      <alignment horizontal="right" vertical="top"/>
    </xf>
    <xf numFmtId="0" fontId="5" fillId="0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vertical="top" wrapText="1"/>
    </xf>
    <xf numFmtId="3" fontId="3" fillId="3" borderId="16" xfId="0" applyNumberFormat="1" applyFont="1" applyFill="1" applyBorder="1" applyAlignment="1" applyProtection="1">
      <alignment horizontal="right" vertical="top"/>
    </xf>
    <xf numFmtId="9" fontId="3" fillId="0" borderId="27" xfId="2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19" xfId="0" applyFont="1" applyFill="1" applyBorder="1" applyProtection="1"/>
    <xf numFmtId="0" fontId="3" fillId="0" borderId="19" xfId="0" applyFont="1" applyFill="1" applyBorder="1" applyAlignment="1" applyProtection="1">
      <alignment wrapText="1"/>
    </xf>
    <xf numFmtId="165" fontId="3" fillId="2" borderId="10" xfId="0" applyNumberFormat="1" applyFont="1" applyFill="1" applyBorder="1" applyAlignment="1" applyProtection="1">
      <alignment horizontal="right" vertical="top"/>
    </xf>
    <xf numFmtId="0" fontId="6" fillId="3" borderId="19" xfId="0" applyFont="1" applyFill="1" applyBorder="1" applyAlignment="1" applyProtection="1">
      <alignment wrapText="1"/>
    </xf>
    <xf numFmtId="0" fontId="3" fillId="3" borderId="19" xfId="0" applyFont="1" applyFill="1" applyBorder="1" applyAlignment="1" applyProtection="1">
      <alignment horizontal="left" vertical="top" wrapText="1"/>
    </xf>
    <xf numFmtId="3" fontId="3" fillId="3" borderId="0" xfId="2" applyNumberFormat="1" applyFont="1" applyFill="1" applyBorder="1" applyAlignment="1" applyProtection="1">
      <alignment horizontal="right" vertical="top"/>
    </xf>
    <xf numFmtId="0" fontId="3" fillId="3" borderId="25" xfId="0" applyFont="1" applyFill="1" applyBorder="1" applyAlignment="1" applyProtection="1">
      <alignment horizontal="left" vertical="top" wrapText="1"/>
    </xf>
    <xf numFmtId="3" fontId="3" fillId="3" borderId="10" xfId="2" applyNumberFormat="1" applyFont="1" applyFill="1" applyBorder="1" applyAlignment="1" applyProtection="1">
      <alignment horizontal="right" vertical="top"/>
    </xf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 applyFill="1" applyProtection="1"/>
    <xf numFmtId="3" fontId="4" fillId="0" borderId="0" xfId="0" applyNumberFormat="1" applyFont="1" applyFill="1" applyProtection="1"/>
    <xf numFmtId="164" fontId="5" fillId="0" borderId="27" xfId="1" applyFont="1" applyBorder="1" applyProtection="1"/>
    <xf numFmtId="0" fontId="3" fillId="0" borderId="24" xfId="0" applyFont="1" applyBorder="1" applyProtection="1"/>
    <xf numFmtId="0" fontId="4" fillId="0" borderId="27" xfId="0" applyFont="1" applyBorder="1" applyProtection="1"/>
    <xf numFmtId="0" fontId="4" fillId="0" borderId="21" xfId="0" applyFont="1" applyBorder="1" applyProtection="1"/>
    <xf numFmtId="0" fontId="3" fillId="0" borderId="0" xfId="0" applyFont="1" applyBorder="1" applyAlignment="1" applyProtection="1">
      <alignment vertical="top" wrapText="1"/>
    </xf>
    <xf numFmtId="0" fontId="3" fillId="0" borderId="19" xfId="0" applyFont="1" applyFill="1" applyBorder="1" applyAlignment="1" applyProtection="1">
      <alignment vertical="top" wrapText="1"/>
    </xf>
    <xf numFmtId="165" fontId="9" fillId="0" borderId="0" xfId="1" applyNumberFormat="1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left" vertical="top" wrapText="1"/>
    </xf>
    <xf numFmtId="3" fontId="5" fillId="3" borderId="0" xfId="0" applyNumberFormat="1" applyFont="1" applyFill="1" applyBorder="1" applyAlignment="1" applyProtection="1">
      <alignment vertical="top"/>
    </xf>
    <xf numFmtId="3" fontId="5" fillId="3" borderId="12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165" fontId="3" fillId="0" borderId="0" xfId="1" applyNumberFormat="1" applyFont="1" applyFill="1" applyBorder="1" applyAlignment="1" applyProtection="1">
      <alignment vertical="top"/>
    </xf>
    <xf numFmtId="165" fontId="3" fillId="0" borderId="0" xfId="1" applyNumberFormat="1" applyFont="1" applyBorder="1" applyAlignment="1" applyProtection="1">
      <alignment vertical="top"/>
    </xf>
    <xf numFmtId="0" fontId="6" fillId="0" borderId="19" xfId="0" applyFont="1" applyBorder="1" applyAlignment="1" applyProtection="1">
      <alignment horizontal="left" vertical="top" wrapText="1"/>
    </xf>
    <xf numFmtId="3" fontId="3" fillId="3" borderId="0" xfId="0" applyNumberFormat="1" applyFont="1" applyFill="1" applyBorder="1" applyAlignment="1" applyProtection="1">
      <alignment vertical="top"/>
    </xf>
    <xf numFmtId="3" fontId="3" fillId="3" borderId="12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165" fontId="3" fillId="0" borderId="0" xfId="1" applyNumberFormat="1" applyFont="1" applyFill="1" applyBorder="1" applyAlignment="1" applyProtection="1">
      <alignment horizontal="center" vertical="top"/>
    </xf>
    <xf numFmtId="0" fontId="3" fillId="0" borderId="25" xfId="0" applyFont="1" applyFill="1" applyBorder="1" applyAlignment="1" applyProtection="1">
      <alignment vertical="top" wrapText="1"/>
    </xf>
    <xf numFmtId="165" fontId="9" fillId="0" borderId="10" xfId="1" applyNumberFormat="1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wrapText="1"/>
    </xf>
    <xf numFmtId="0" fontId="3" fillId="0" borderId="26" xfId="0" applyFont="1" applyBorder="1" applyProtection="1"/>
    <xf numFmtId="0" fontId="6" fillId="0" borderId="25" xfId="0" applyFont="1" applyBorder="1" applyAlignment="1" applyProtection="1">
      <alignment horizontal="left" vertical="top" wrapText="1"/>
    </xf>
    <xf numFmtId="3" fontId="3" fillId="3" borderId="10" xfId="0" applyNumberFormat="1" applyFont="1" applyFill="1" applyBorder="1" applyAlignment="1" applyProtection="1">
      <alignment vertical="top"/>
    </xf>
    <xf numFmtId="3" fontId="3" fillId="3" borderId="26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4" fillId="0" borderId="25" xfId="0" applyFont="1" applyBorder="1" applyAlignment="1" applyProtection="1">
      <alignment horizontal="left" vertical="top" wrapText="1"/>
    </xf>
    <xf numFmtId="3" fontId="5" fillId="3" borderId="30" xfId="0" applyNumberFormat="1" applyFont="1" applyFill="1" applyBorder="1" applyAlignment="1" applyProtection="1">
      <alignment vertical="top"/>
    </xf>
    <xf numFmtId="3" fontId="5" fillId="3" borderId="29" xfId="0" applyNumberFormat="1" applyFont="1" applyFill="1" applyBorder="1" applyAlignment="1" applyProtection="1">
      <alignment vertical="top"/>
    </xf>
    <xf numFmtId="165" fontId="5" fillId="0" borderId="0" xfId="1" applyNumberFormat="1" applyFont="1" applyFill="1" applyBorder="1" applyAlignment="1" applyProtection="1">
      <alignment horizontal="center" vertical="top"/>
    </xf>
    <xf numFmtId="0" fontId="4" fillId="0" borderId="0" xfId="0" applyFont="1" applyBorder="1" applyProtection="1"/>
    <xf numFmtId="0" fontId="5" fillId="0" borderId="24" xfId="0" applyFont="1" applyFill="1" applyBorder="1" applyAlignment="1" applyProtection="1">
      <alignment wrapText="1"/>
    </xf>
    <xf numFmtId="0" fontId="5" fillId="0" borderId="27" xfId="0" applyFont="1" applyFill="1" applyBorder="1" applyAlignment="1" applyProtection="1">
      <alignment horizontal="center" wrapText="1"/>
    </xf>
    <xf numFmtId="164" fontId="5" fillId="0" borderId="27" xfId="1" applyNumberFormat="1" applyFont="1" applyFill="1" applyBorder="1" applyAlignment="1" applyProtection="1">
      <alignment horizontal="center" wrapText="1"/>
    </xf>
    <xf numFmtId="164" fontId="17" fillId="0" borderId="27" xfId="1" applyNumberFormat="1" applyFont="1" applyFill="1" applyBorder="1" applyAlignment="1" applyProtection="1">
      <alignment horizontal="center" wrapText="1"/>
    </xf>
    <xf numFmtId="164" fontId="17" fillId="0" borderId="21" xfId="1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/>
    <xf numFmtId="0" fontId="13" fillId="0" borderId="0" xfId="0" applyFont="1" applyBorder="1" applyAlignment="1" applyProtection="1">
      <alignment wrapText="1"/>
    </xf>
    <xf numFmtId="0" fontId="6" fillId="0" borderId="25" xfId="0" applyFont="1" applyBorder="1" applyAlignment="1" applyProtection="1">
      <alignment wrapText="1"/>
    </xf>
    <xf numFmtId="3" fontId="6" fillId="0" borderId="10" xfId="0" applyNumberFormat="1" applyFont="1" applyBorder="1" applyProtection="1"/>
    <xf numFmtId="165" fontId="3" fillId="3" borderId="10" xfId="0" applyNumberFormat="1" applyFont="1" applyFill="1" applyBorder="1" applyProtection="1"/>
    <xf numFmtId="165" fontId="3" fillId="3" borderId="26" xfId="0" applyNumberFormat="1" applyFont="1" applyFill="1" applyBorder="1" applyProtection="1"/>
    <xf numFmtId="0" fontId="3" fillId="3" borderId="3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1" borderId="16" xfId="0" applyFont="1" applyFill="1" applyBorder="1" applyProtection="1"/>
    <xf numFmtId="0" fontId="3" fillId="0" borderId="1" xfId="0" applyFont="1" applyFill="1" applyBorder="1" applyAlignment="1" applyProtection="1">
      <alignment horizontal="left" vertical="top" wrapText="1"/>
    </xf>
    <xf numFmtId="0" fontId="3" fillId="1" borderId="18" xfId="0" applyFont="1" applyFill="1" applyBorder="1" applyProtection="1"/>
    <xf numFmtId="0" fontId="3" fillId="14" borderId="25" xfId="0" applyFont="1" applyFill="1" applyBorder="1" applyProtection="1"/>
    <xf numFmtId="9" fontId="3" fillId="14" borderId="10" xfId="0" applyNumberFormat="1" applyFont="1" applyFill="1" applyBorder="1" applyProtection="1"/>
    <xf numFmtId="9" fontId="3" fillId="14" borderId="26" xfId="0" applyNumberFormat="1" applyFont="1" applyFill="1" applyBorder="1" applyProtection="1"/>
    <xf numFmtId="0" fontId="17" fillId="14" borderId="3" xfId="0" applyFont="1" applyFill="1" applyBorder="1" applyAlignment="1" applyProtection="1">
      <alignment horizontal="left" vertical="top" wrapText="1"/>
    </xf>
    <xf numFmtId="0" fontId="17" fillId="15" borderId="16" xfId="0" applyFont="1" applyFill="1" applyBorder="1" applyProtection="1"/>
    <xf numFmtId="3" fontId="17" fillId="14" borderId="0" xfId="0" applyNumberFormat="1" applyFont="1" applyFill="1" applyBorder="1" applyAlignment="1" applyProtection="1">
      <alignment horizontal="right" vertical="top"/>
    </xf>
    <xf numFmtId="3" fontId="17" fillId="14" borderId="12" xfId="0" applyNumberFormat="1" applyFont="1" applyFill="1" applyBorder="1" applyAlignment="1" applyProtection="1">
      <alignment horizontal="right" vertical="top"/>
    </xf>
    <xf numFmtId="3" fontId="17" fillId="14" borderId="4" xfId="0" applyNumberFormat="1" applyFont="1" applyFill="1" applyBorder="1" applyAlignment="1" applyProtection="1">
      <alignment horizontal="right" vertical="top"/>
    </xf>
    <xf numFmtId="9" fontId="3" fillId="0" borderId="0" xfId="2" applyFont="1" applyFill="1" applyBorder="1" applyAlignment="1" applyProtection="1">
      <alignment horizontal="right" vertical="top"/>
    </xf>
    <xf numFmtId="1" fontId="3" fillId="0" borderId="0" xfId="2" applyNumberFormat="1" applyFont="1" applyFill="1" applyBorder="1" applyAlignment="1" applyProtection="1">
      <alignment horizontal="right" vertical="top"/>
    </xf>
    <xf numFmtId="9" fontId="3" fillId="0" borderId="0" xfId="2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wrapText="1"/>
    </xf>
    <xf numFmtId="3" fontId="16" fillId="9" borderId="16" xfId="0" applyNumberFormat="1" applyFont="1" applyFill="1" applyBorder="1" applyAlignment="1" applyProtection="1">
      <alignment horizontal="right" vertical="top"/>
    </xf>
    <xf numFmtId="3" fontId="21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/>
    <xf numFmtId="10" fontId="3" fillId="2" borderId="0" xfId="2" applyNumberFormat="1" applyFont="1" applyFill="1" applyBorder="1" applyAlignment="1" applyProtection="1">
      <alignment horizontal="right" vertical="top"/>
    </xf>
    <xf numFmtId="0" fontId="3" fillId="2" borderId="19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Fill="1" applyBorder="1" applyProtection="1"/>
    <xf numFmtId="0" fontId="4" fillId="0" borderId="0" xfId="0" applyFont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165" fontId="3" fillId="2" borderId="0" xfId="0" applyNumberFormat="1" applyFont="1" applyFill="1" applyBorder="1" applyProtection="1"/>
    <xf numFmtId="0" fontId="6" fillId="0" borderId="0" xfId="0" applyFont="1" applyBorder="1" applyProtection="1"/>
    <xf numFmtId="0" fontId="13" fillId="2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vertical="top"/>
    </xf>
    <xf numFmtId="10" fontId="3" fillId="3" borderId="16" xfId="0" applyNumberFormat="1" applyFont="1" applyFill="1" applyBorder="1" applyAlignment="1" applyProtection="1">
      <alignment horizontal="right" vertical="top"/>
    </xf>
    <xf numFmtId="164" fontId="5" fillId="0" borderId="0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wrapText="1"/>
    </xf>
    <xf numFmtId="0" fontId="3" fillId="3" borderId="3" xfId="0" applyFont="1" applyFill="1" applyBorder="1" applyAlignment="1" applyProtection="1">
      <alignment wrapText="1"/>
    </xf>
    <xf numFmtId="3" fontId="3" fillId="0" borderId="19" xfId="1" applyNumberFormat="1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/>
    </xf>
    <xf numFmtId="3" fontId="3" fillId="0" borderId="12" xfId="1" applyNumberFormat="1" applyFont="1" applyFill="1" applyBorder="1" applyAlignment="1" applyProtection="1">
      <alignment horizontal="right" vertical="top"/>
    </xf>
    <xf numFmtId="3" fontId="3" fillId="0" borderId="4" xfId="1" applyNumberFormat="1" applyFont="1" applyFill="1" applyBorder="1" applyAlignment="1" applyProtection="1">
      <alignment horizontal="right" vertical="top"/>
    </xf>
    <xf numFmtId="3" fontId="3" fillId="0" borderId="19" xfId="0" applyNumberFormat="1" applyFont="1" applyBorder="1" applyAlignment="1" applyProtection="1">
      <alignment horizontal="right" vertical="top"/>
    </xf>
    <xf numFmtId="3" fontId="3" fillId="0" borderId="0" xfId="0" applyNumberFormat="1" applyFont="1" applyBorder="1" applyAlignment="1" applyProtection="1">
      <alignment horizontal="right" vertical="top"/>
    </xf>
    <xf numFmtId="3" fontId="3" fillId="0" borderId="12" xfId="0" applyNumberFormat="1" applyFont="1" applyBorder="1" applyAlignment="1" applyProtection="1">
      <alignment horizontal="right" vertical="top"/>
    </xf>
    <xf numFmtId="3" fontId="3" fillId="0" borderId="4" xfId="0" applyNumberFormat="1" applyFont="1" applyBorder="1" applyAlignment="1" applyProtection="1">
      <alignment horizontal="right" vertical="top"/>
    </xf>
    <xf numFmtId="0" fontId="3" fillId="0" borderId="16" xfId="0" applyFont="1" applyFill="1" applyBorder="1" applyAlignment="1" applyProtection="1">
      <alignment horizontal="right" vertical="top"/>
    </xf>
    <xf numFmtId="3" fontId="3" fillId="0" borderId="16" xfId="0" applyNumberFormat="1" applyFont="1" applyFill="1" applyBorder="1" applyAlignment="1" applyProtection="1">
      <alignment horizontal="right" vertical="top"/>
    </xf>
    <xf numFmtId="3" fontId="3" fillId="2" borderId="16" xfId="0" applyNumberFormat="1" applyFont="1" applyFill="1" applyBorder="1" applyAlignment="1" applyProtection="1">
      <alignment horizontal="right" vertical="top"/>
    </xf>
    <xf numFmtId="165" fontId="3" fillId="2" borderId="16" xfId="0" applyNumberFormat="1" applyFont="1" applyFill="1" applyBorder="1" applyAlignment="1" applyProtection="1">
      <alignment horizontal="right" vertical="top"/>
    </xf>
    <xf numFmtId="3" fontId="16" fillId="9" borderId="4" xfId="0" applyNumberFormat="1" applyFont="1" applyFill="1" applyBorder="1" applyProtection="1"/>
    <xf numFmtId="3" fontId="16" fillId="9" borderId="6" xfId="0" applyNumberFormat="1" applyFont="1" applyFill="1" applyBorder="1" applyProtection="1"/>
    <xf numFmtId="3" fontId="16" fillId="9" borderId="17" xfId="0" applyNumberFormat="1" applyFont="1" applyFill="1" applyBorder="1" applyAlignment="1" applyProtection="1">
      <alignment horizontal="right" vertical="top"/>
    </xf>
    <xf numFmtId="3" fontId="3" fillId="1" borderId="16" xfId="0" applyNumberFormat="1" applyFont="1" applyFill="1" applyBorder="1" applyAlignment="1" applyProtection="1">
      <alignment horizontal="right" vertical="top"/>
    </xf>
    <xf numFmtId="3" fontId="13" fillId="0" borderId="16" xfId="0" applyNumberFormat="1" applyFont="1" applyFill="1" applyBorder="1" applyAlignment="1" applyProtection="1">
      <alignment horizontal="right" vertical="top"/>
    </xf>
    <xf numFmtId="3" fontId="14" fillId="5" borderId="17" xfId="1" applyNumberFormat="1" applyFont="1" applyFill="1" applyBorder="1" applyAlignment="1" applyProtection="1">
      <alignment horizontal="right" vertical="top"/>
    </xf>
    <xf numFmtId="3" fontId="14" fillId="5" borderId="7" xfId="1" applyNumberFormat="1" applyFont="1" applyFill="1" applyBorder="1" applyAlignment="1" applyProtection="1">
      <alignment horizontal="right" vertical="top"/>
    </xf>
    <xf numFmtId="3" fontId="14" fillId="5" borderId="13" xfId="1" applyNumberFormat="1" applyFont="1" applyFill="1" applyBorder="1" applyAlignment="1" applyProtection="1">
      <alignment horizontal="right" vertical="top"/>
    </xf>
    <xf numFmtId="3" fontId="14" fillId="5" borderId="6" xfId="1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Protection="1"/>
    <xf numFmtId="0" fontId="5" fillId="0" borderId="2" xfId="0" applyFont="1" applyBorder="1" applyProtection="1"/>
    <xf numFmtId="169" fontId="3" fillId="0" borderId="0" xfId="0" applyNumberFormat="1" applyFont="1" applyBorder="1"/>
    <xf numFmtId="0" fontId="3" fillId="0" borderId="4" xfId="0" applyFont="1" applyBorder="1" applyProtection="1"/>
    <xf numFmtId="0" fontId="6" fillId="0" borderId="3" xfId="0" applyFont="1" applyBorder="1" applyAlignment="1" applyProtection="1">
      <alignment wrapText="1"/>
    </xf>
    <xf numFmtId="169" fontId="3" fillId="0" borderId="0" xfId="0" applyNumberFormat="1" applyFont="1" applyBorder="1" applyProtection="1"/>
    <xf numFmtId="170" fontId="3" fillId="0" borderId="4" xfId="0" applyNumberFormat="1" applyFont="1" applyBorder="1" applyProtection="1"/>
    <xf numFmtId="0" fontId="6" fillId="0" borderId="5" xfId="0" applyFont="1" applyBorder="1" applyAlignment="1" applyProtection="1">
      <alignment wrapText="1"/>
    </xf>
    <xf numFmtId="171" fontId="3" fillId="0" borderId="7" xfId="0" applyNumberFormat="1" applyFont="1" applyBorder="1" applyProtection="1"/>
    <xf numFmtId="170" fontId="3" fillId="0" borderId="6" xfId="0" applyNumberFormat="1" applyFont="1" applyBorder="1" applyProtection="1"/>
    <xf numFmtId="0" fontId="13" fillId="0" borderId="0" xfId="0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top" wrapText="1"/>
    </xf>
    <xf numFmtId="164" fontId="3" fillId="0" borderId="0" xfId="0" applyNumberFormat="1" applyFont="1" applyFill="1" applyBorder="1" applyAlignment="1" applyProtection="1">
      <alignment horizontal="right" vertical="top"/>
    </xf>
    <xf numFmtId="0" fontId="19" fillId="0" borderId="0" xfId="0" applyFont="1" applyFill="1" applyBorder="1" applyAlignment="1" applyProtection="1">
      <alignment wrapText="1"/>
    </xf>
    <xf numFmtId="3" fontId="19" fillId="0" borderId="0" xfId="0" applyNumberFormat="1" applyFont="1" applyFill="1" applyBorder="1" applyAlignment="1" applyProtection="1">
      <alignment horizontal="right" vertical="top"/>
    </xf>
    <xf numFmtId="0" fontId="13" fillId="3" borderId="1" xfId="0" applyFont="1" applyFill="1" applyBorder="1" applyAlignment="1" applyProtection="1">
      <alignment horizontal="left" vertical="top" wrapText="1"/>
    </xf>
    <xf numFmtId="9" fontId="3" fillId="3" borderId="8" xfId="0" applyNumberFormat="1" applyFont="1" applyFill="1" applyBorder="1" applyAlignment="1" applyProtection="1">
      <alignment horizontal="right" vertical="top"/>
    </xf>
    <xf numFmtId="9" fontId="3" fillId="4" borderId="2" xfId="0" applyNumberFormat="1" applyFont="1" applyFill="1" applyBorder="1" applyAlignment="1" applyProtection="1">
      <alignment horizontal="right" vertical="top"/>
    </xf>
    <xf numFmtId="0" fontId="3" fillId="6" borderId="18" xfId="0" applyFont="1" applyFill="1" applyBorder="1" applyAlignment="1" applyProtection="1">
      <alignment horizontal="right" vertical="top"/>
    </xf>
    <xf numFmtId="9" fontId="3" fillId="3" borderId="22" xfId="0" applyNumberFormat="1" applyFont="1" applyFill="1" applyBorder="1" applyAlignment="1" applyProtection="1">
      <alignment horizontal="right" vertical="top"/>
    </xf>
    <xf numFmtId="9" fontId="3" fillId="3" borderId="23" xfId="0" applyNumberFormat="1" applyFont="1" applyFill="1" applyBorder="1" applyAlignment="1" applyProtection="1">
      <alignment horizontal="right" vertical="top"/>
    </xf>
    <xf numFmtId="0" fontId="3" fillId="0" borderId="5" xfId="0" applyFont="1" applyBorder="1" applyAlignment="1">
      <alignment wrapText="1"/>
    </xf>
    <xf numFmtId="165" fontId="3" fillId="2" borderId="2" xfId="0" applyNumberFormat="1" applyFont="1" applyFill="1" applyBorder="1"/>
    <xf numFmtId="165" fontId="3" fillId="2" borderId="4" xfId="0" applyNumberFormat="1" applyFont="1" applyFill="1" applyBorder="1"/>
    <xf numFmtId="165" fontId="9" fillId="0" borderId="0" xfId="1" applyNumberFormat="1" applyFont="1" applyBorder="1" applyAlignment="1">
      <alignment wrapText="1"/>
    </xf>
    <xf numFmtId="165" fontId="3" fillId="2" borderId="6" xfId="0" applyNumberFormat="1" applyFont="1" applyFill="1" applyBorder="1"/>
    <xf numFmtId="0" fontId="4" fillId="0" borderId="24" xfId="0" applyFont="1" applyBorder="1"/>
    <xf numFmtId="0" fontId="5" fillId="0" borderId="21" xfId="0" applyFont="1" applyFill="1" applyBorder="1" applyAlignment="1" applyProtection="1">
      <alignment wrapText="1"/>
    </xf>
    <xf numFmtId="0" fontId="6" fillId="0" borderId="19" xfId="0" applyFont="1" applyBorder="1"/>
    <xf numFmtId="165" fontId="3" fillId="2" borderId="10" xfId="0" applyNumberFormat="1" applyFont="1" applyFill="1" applyBorder="1"/>
    <xf numFmtId="0" fontId="4" fillId="0" borderId="1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9" fontId="3" fillId="3" borderId="12" xfId="0" applyNumberFormat="1" applyFont="1" applyFill="1" applyBorder="1" applyAlignment="1" applyProtection="1">
      <alignment horizontal="right" vertical="top"/>
    </xf>
    <xf numFmtId="9" fontId="3" fillId="3" borderId="12" xfId="2" applyFont="1" applyFill="1" applyBorder="1" applyAlignment="1" applyProtection="1">
      <alignment horizontal="right" vertical="top"/>
    </xf>
    <xf numFmtId="3" fontId="3" fillId="3" borderId="12" xfId="0" applyNumberFormat="1" applyFont="1" applyFill="1" applyBorder="1" applyAlignment="1" applyProtection="1">
      <alignment horizontal="right" vertical="top"/>
    </xf>
    <xf numFmtId="165" fontId="5" fillId="0" borderId="21" xfId="1" applyNumberFormat="1" applyFont="1" applyFill="1" applyBorder="1" applyAlignment="1" applyProtection="1">
      <alignment horizontal="center" wrapText="1"/>
    </xf>
    <xf numFmtId="167" fontId="3" fillId="0" borderId="12" xfId="2" applyNumberFormat="1" applyFont="1" applyFill="1" applyBorder="1" applyAlignment="1" applyProtection="1">
      <alignment horizontal="center"/>
    </xf>
    <xf numFmtId="167" fontId="3" fillId="0" borderId="26" xfId="2" applyNumberFormat="1" applyFont="1" applyFill="1" applyBorder="1" applyAlignment="1" applyProtection="1">
      <alignment horizontal="center"/>
    </xf>
    <xf numFmtId="9" fontId="3" fillId="3" borderId="0" xfId="2" applyFont="1" applyFill="1" applyBorder="1" applyAlignment="1" applyProtection="1">
      <alignment horizontal="right"/>
    </xf>
    <xf numFmtId="9" fontId="4" fillId="3" borderId="0" xfId="2" applyFont="1" applyFill="1" applyBorder="1" applyAlignment="1" applyProtection="1">
      <alignment horizontal="center"/>
    </xf>
    <xf numFmtId="9" fontId="3" fillId="4" borderId="12" xfId="2" applyFont="1" applyFill="1" applyBorder="1" applyAlignment="1" applyProtection="1">
      <alignment horizontal="right"/>
    </xf>
    <xf numFmtId="9" fontId="5" fillId="4" borderId="12" xfId="2" applyFont="1" applyFill="1" applyBorder="1" applyAlignment="1" applyProtection="1">
      <alignment horizontal="center"/>
    </xf>
    <xf numFmtId="1" fontId="3" fillId="3" borderId="10" xfId="2" applyNumberFormat="1" applyFont="1" applyFill="1" applyBorder="1" applyAlignment="1" applyProtection="1">
      <alignment horizontal="right"/>
    </xf>
    <xf numFmtId="172" fontId="3" fillId="0" borderId="0" xfId="0" applyNumberFormat="1" applyFont="1" applyBorder="1" applyProtection="1"/>
    <xf numFmtId="172" fontId="3" fillId="0" borderId="10" xfId="0" applyNumberFormat="1" applyFont="1" applyBorder="1" applyProtection="1"/>
    <xf numFmtId="172" fontId="3" fillId="0" borderId="12" xfId="0" applyNumberFormat="1" applyFont="1" applyBorder="1" applyProtection="1"/>
    <xf numFmtId="172" fontId="3" fillId="0" borderId="26" xfId="0" applyNumberFormat="1" applyFont="1" applyBorder="1" applyProtection="1"/>
    <xf numFmtId="165" fontId="3" fillId="12" borderId="19" xfId="1" applyNumberFormat="1" applyFont="1" applyFill="1" applyBorder="1" applyAlignment="1" applyProtection="1">
      <alignment horizontal="right" vertical="top"/>
    </xf>
    <xf numFmtId="165" fontId="3" fillId="12" borderId="0" xfId="1" applyNumberFormat="1" applyFont="1" applyFill="1" applyBorder="1" applyAlignment="1" applyProtection="1">
      <alignment horizontal="right" vertical="top"/>
    </xf>
    <xf numFmtId="165" fontId="3" fillId="12" borderId="12" xfId="1" applyNumberFormat="1" applyFont="1" applyFill="1" applyBorder="1" applyAlignment="1" applyProtection="1">
      <alignment horizontal="right" vertical="top"/>
    </xf>
    <xf numFmtId="165" fontId="3" fillId="12" borderId="4" xfId="1" applyNumberFormat="1" applyFont="1" applyFill="1" applyBorder="1" applyAlignment="1" applyProtection="1">
      <alignment horizontal="right" vertical="top"/>
    </xf>
    <xf numFmtId="0" fontId="3" fillId="3" borderId="0" xfId="0" applyFont="1" applyFill="1" applyBorder="1"/>
    <xf numFmtId="0" fontId="3" fillId="3" borderId="12" xfId="0" applyFont="1" applyFill="1" applyBorder="1"/>
    <xf numFmtId="4" fontId="3" fillId="0" borderId="0" xfId="0" applyNumberFormat="1" applyFont="1"/>
    <xf numFmtId="0" fontId="3" fillId="0" borderId="0" xfId="0" applyFont="1" applyFill="1" applyBorder="1" applyAlignment="1">
      <alignment horizontal="left"/>
    </xf>
    <xf numFmtId="3" fontId="3" fillId="2" borderId="0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center"/>
    </xf>
    <xf numFmtId="0" fontId="3" fillId="2" borderId="19" xfId="0" applyFont="1" applyFill="1" applyBorder="1" applyAlignment="1" applyProtection="1">
      <alignment horizontal="right"/>
    </xf>
    <xf numFmtId="1" fontId="3" fillId="8" borderId="12" xfId="2" applyNumberFormat="1" applyFont="1" applyFill="1" applyBorder="1" applyAlignment="1" applyProtection="1">
      <alignment horizontal="right"/>
    </xf>
    <xf numFmtId="0" fontId="3" fillId="8" borderId="4" xfId="0" applyFont="1" applyFill="1" applyBorder="1" applyAlignment="1" applyProtection="1">
      <alignment horizontal="right"/>
    </xf>
    <xf numFmtId="9" fontId="3" fillId="2" borderId="19" xfId="2" applyFont="1" applyFill="1" applyBorder="1" applyAlignment="1" applyProtection="1">
      <alignment horizontal="right"/>
    </xf>
    <xf numFmtId="9" fontId="3" fillId="8" borderId="12" xfId="2" applyFont="1" applyFill="1" applyBorder="1" applyAlignment="1" applyProtection="1">
      <alignment horizontal="right"/>
    </xf>
    <xf numFmtId="9" fontId="3" fillId="8" borderId="4" xfId="2" applyFont="1" applyFill="1" applyBorder="1" applyAlignment="1" applyProtection="1">
      <alignment horizontal="right"/>
    </xf>
    <xf numFmtId="3" fontId="3" fillId="2" borderId="19" xfId="0" applyNumberFormat="1" applyFont="1" applyFill="1" applyBorder="1" applyAlignment="1" applyProtection="1">
      <alignment horizontal="right"/>
    </xf>
    <xf numFmtId="3" fontId="3" fillId="8" borderId="12" xfId="2" applyNumberFormat="1" applyFont="1" applyFill="1" applyBorder="1" applyAlignment="1" applyProtection="1">
      <alignment horizontal="right"/>
    </xf>
    <xf numFmtId="3" fontId="3" fillId="8" borderId="4" xfId="0" applyNumberFormat="1" applyFont="1" applyFill="1" applyBorder="1" applyAlignment="1" applyProtection="1">
      <alignment horizontal="right"/>
    </xf>
    <xf numFmtId="0" fontId="3" fillId="11" borderId="19" xfId="0" applyFont="1" applyFill="1" applyBorder="1" applyAlignment="1">
      <alignment horizontal="right"/>
    </xf>
    <xf numFmtId="0" fontId="3" fillId="11" borderId="0" xfId="0" applyFont="1" applyFill="1" applyBorder="1" applyAlignment="1">
      <alignment horizontal="right"/>
    </xf>
    <xf numFmtId="0" fontId="3" fillId="11" borderId="12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164" fontId="3" fillId="0" borderId="0" xfId="0" applyNumberFormat="1" applyFont="1" applyProtection="1"/>
    <xf numFmtId="0" fontId="23" fillId="0" borderId="0" xfId="0" applyFont="1" applyFill="1" applyBorder="1" applyAlignment="1" applyProtection="1">
      <alignment wrapText="1"/>
    </xf>
    <xf numFmtId="3" fontId="4" fillId="0" borderId="0" xfId="1" applyNumberFormat="1" applyFont="1" applyFill="1" applyBorder="1" applyProtection="1"/>
    <xf numFmtId="0" fontId="13" fillId="2" borderId="0" xfId="0" applyFont="1" applyFill="1" applyBorder="1" applyAlignment="1" applyProtection="1">
      <alignment horizontal="right" wrapText="1"/>
    </xf>
    <xf numFmtId="0" fontId="13" fillId="3" borderId="25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6" fillId="0" borderId="19" xfId="0" applyFont="1" applyFill="1" applyBorder="1" applyAlignment="1" applyProtection="1">
      <alignment wrapText="1"/>
    </xf>
    <xf numFmtId="3" fontId="16" fillId="9" borderId="19" xfId="0" applyNumberFormat="1" applyFont="1" applyFill="1" applyBorder="1" applyAlignment="1" applyProtection="1">
      <alignment horizontal="right" vertical="top"/>
    </xf>
    <xf numFmtId="3" fontId="16" fillId="9" borderId="20" xfId="0" applyNumberFormat="1" applyFont="1" applyFill="1" applyBorder="1" applyAlignment="1" applyProtection="1">
      <alignment horizontal="right" vertical="top"/>
    </xf>
    <xf numFmtId="3" fontId="16" fillId="9" borderId="12" xfId="0" applyNumberFormat="1" applyFont="1" applyFill="1" applyBorder="1" applyAlignment="1" applyProtection="1">
      <alignment horizontal="right" vertical="top"/>
    </xf>
    <xf numFmtId="3" fontId="16" fillId="9" borderId="13" xfId="0" applyNumberFormat="1" applyFont="1" applyFill="1" applyBorder="1" applyAlignment="1" applyProtection="1">
      <alignment horizontal="right" vertical="top"/>
    </xf>
    <xf numFmtId="0" fontId="4" fillId="0" borderId="19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3" fontId="16" fillId="9" borderId="0" xfId="0" applyNumberFormat="1" applyFont="1" applyFill="1" applyBorder="1" applyAlignment="1" applyProtection="1">
      <alignment horizontal="right" vertical="top"/>
    </xf>
    <xf numFmtId="0" fontId="16" fillId="9" borderId="1" xfId="0" applyFont="1" applyFill="1" applyBorder="1" applyAlignment="1" applyProtection="1">
      <alignment wrapText="1"/>
    </xf>
    <xf numFmtId="3" fontId="16" fillId="9" borderId="22" xfId="0" applyNumberFormat="1" applyFont="1" applyFill="1" applyBorder="1" applyAlignment="1" applyProtection="1">
      <alignment horizontal="right" vertical="top"/>
    </xf>
    <xf numFmtId="3" fontId="16" fillId="9" borderId="8" xfId="0" applyNumberFormat="1" applyFont="1" applyFill="1" applyBorder="1" applyAlignment="1" applyProtection="1">
      <alignment horizontal="right" vertical="top"/>
    </xf>
    <xf numFmtId="3" fontId="16" fillId="9" borderId="23" xfId="0" applyNumberFormat="1" applyFont="1" applyFill="1" applyBorder="1" applyAlignment="1" applyProtection="1">
      <alignment horizontal="right" vertical="top"/>
    </xf>
    <xf numFmtId="3" fontId="16" fillId="9" borderId="2" xfId="0" applyNumberFormat="1" applyFont="1" applyFill="1" applyBorder="1" applyAlignment="1" applyProtection="1">
      <alignment horizontal="right" vertical="top"/>
    </xf>
    <xf numFmtId="3" fontId="16" fillId="9" borderId="4" xfId="0" applyNumberFormat="1" applyFont="1" applyFill="1" applyBorder="1" applyAlignment="1" applyProtection="1">
      <alignment horizontal="right" vertical="top"/>
    </xf>
    <xf numFmtId="3" fontId="16" fillId="9" borderId="7" xfId="0" applyNumberFormat="1" applyFont="1" applyFill="1" applyBorder="1" applyAlignment="1" applyProtection="1">
      <alignment horizontal="right" vertical="top"/>
    </xf>
    <xf numFmtId="3" fontId="16" fillId="9" borderId="6" xfId="0" applyNumberFormat="1" applyFont="1" applyFill="1" applyBorder="1" applyAlignment="1" applyProtection="1">
      <alignment horizontal="right" vertical="top"/>
    </xf>
    <xf numFmtId="0" fontId="3" fillId="3" borderId="3" xfId="0" applyFont="1" applyFill="1" applyBorder="1" applyAlignment="1" applyProtection="1">
      <alignment horizontal="right" wrapText="1"/>
    </xf>
    <xf numFmtId="10" fontId="3" fillId="3" borderId="19" xfId="0" applyNumberFormat="1" applyFont="1" applyFill="1" applyBorder="1" applyAlignment="1" applyProtection="1">
      <alignment horizontal="right" vertical="top"/>
    </xf>
    <xf numFmtId="10" fontId="3" fillId="4" borderId="4" xfId="0" applyNumberFormat="1" applyFont="1" applyFill="1" applyBorder="1" applyAlignment="1" applyProtection="1">
      <alignment horizontal="right" vertical="top"/>
    </xf>
    <xf numFmtId="10" fontId="3" fillId="3" borderId="0" xfId="0" applyNumberFormat="1" applyFont="1" applyFill="1" applyBorder="1" applyAlignment="1" applyProtection="1">
      <alignment horizontal="right" vertical="top"/>
    </xf>
    <xf numFmtId="10" fontId="3" fillId="3" borderId="12" xfId="0" applyNumberFormat="1" applyFont="1" applyFill="1" applyBorder="1" applyAlignment="1" applyProtection="1">
      <alignment horizontal="right" vertical="top"/>
    </xf>
    <xf numFmtId="3" fontId="3" fillId="0" borderId="16" xfId="0" applyNumberFormat="1" applyFont="1" applyFill="1" applyBorder="1" applyAlignment="1">
      <alignment horizontal="right"/>
    </xf>
    <xf numFmtId="3" fontId="3" fillId="1" borderId="16" xfId="0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14" fillId="5" borderId="17" xfId="1" applyNumberFormat="1" applyFont="1" applyFill="1" applyBorder="1" applyAlignment="1">
      <alignment horizontal="right"/>
    </xf>
    <xf numFmtId="3" fontId="14" fillId="5" borderId="7" xfId="1" applyNumberFormat="1" applyFont="1" applyFill="1" applyBorder="1" applyAlignment="1">
      <alignment horizontal="right"/>
    </xf>
    <xf numFmtId="3" fontId="14" fillId="5" borderId="13" xfId="1" applyNumberFormat="1" applyFont="1" applyFill="1" applyBorder="1" applyAlignment="1">
      <alignment horizontal="right"/>
    </xf>
    <xf numFmtId="3" fontId="14" fillId="5" borderId="6" xfId="1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left" vertical="center" wrapText="1"/>
    </xf>
    <xf numFmtId="3" fontId="3" fillId="1" borderId="33" xfId="0" applyNumberFormat="1" applyFont="1" applyFill="1" applyBorder="1" applyAlignment="1">
      <alignment horizontal="right"/>
    </xf>
    <xf numFmtId="3" fontId="3" fillId="0" borderId="34" xfId="1" applyNumberFormat="1" applyFont="1" applyFill="1" applyBorder="1" applyAlignment="1">
      <alignment horizontal="right"/>
    </xf>
    <xf numFmtId="3" fontId="3" fillId="0" borderId="35" xfId="1" applyNumberFormat="1" applyFont="1" applyFill="1" applyBorder="1" applyAlignment="1">
      <alignment horizontal="right"/>
    </xf>
    <xf numFmtId="3" fontId="3" fillId="0" borderId="36" xfId="1" applyNumberFormat="1" applyFont="1" applyFill="1" applyBorder="1" applyAlignment="1">
      <alignment horizontal="right"/>
    </xf>
    <xf numFmtId="3" fontId="3" fillId="4" borderId="31" xfId="0" applyNumberFormat="1" applyFont="1" applyFill="1" applyBorder="1" applyAlignment="1" applyProtection="1">
      <alignment horizontal="right"/>
      <protection locked="0"/>
    </xf>
    <xf numFmtId="9" fontId="3" fillId="8" borderId="38" xfId="2" applyFont="1" applyFill="1" applyBorder="1" applyAlignment="1" applyProtection="1">
      <alignment horizontal="right"/>
      <protection locked="0"/>
    </xf>
    <xf numFmtId="9" fontId="3" fillId="4" borderId="38" xfId="2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center"/>
    </xf>
    <xf numFmtId="165" fontId="24" fillId="0" borderId="0" xfId="1" applyNumberFormat="1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9" fontId="3" fillId="4" borderId="37" xfId="2" applyFont="1" applyFill="1" applyBorder="1" applyAlignment="1" applyProtection="1">
      <alignment horizontal="right" vertical="top"/>
      <protection locked="0"/>
    </xf>
    <xf numFmtId="9" fontId="3" fillId="2" borderId="0" xfId="2" applyNumberFormat="1" applyFont="1" applyFill="1" applyBorder="1" applyAlignment="1" applyProtection="1">
      <alignment horizontal="right" vertical="top"/>
    </xf>
    <xf numFmtId="9" fontId="3" fillId="8" borderId="12" xfId="2" applyNumberFormat="1" applyFont="1" applyFill="1" applyBorder="1" applyAlignment="1" applyProtection="1">
      <alignment horizontal="right" vertical="top"/>
    </xf>
    <xf numFmtId="3" fontId="3" fillId="8" borderId="31" xfId="0" applyNumberFormat="1" applyFont="1" applyFill="1" applyBorder="1" applyAlignment="1" applyProtection="1">
      <alignment horizontal="right" vertical="top"/>
      <protection locked="0"/>
    </xf>
    <xf numFmtId="9" fontId="3" fillId="2" borderId="19" xfId="2" applyNumberFormat="1" applyFont="1" applyFill="1" applyBorder="1" applyAlignment="1" applyProtection="1">
      <alignment horizontal="right" vertical="top"/>
    </xf>
    <xf numFmtId="9" fontId="3" fillId="8" borderId="4" xfId="2" applyNumberFormat="1" applyFont="1" applyFill="1" applyBorder="1" applyAlignment="1" applyProtection="1">
      <alignment horizontal="right" vertical="top"/>
    </xf>
    <xf numFmtId="1" fontId="3" fillId="4" borderId="31" xfId="2" applyNumberFormat="1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top" wrapText="1"/>
    </xf>
    <xf numFmtId="0" fontId="13" fillId="3" borderId="3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/>
    </xf>
    <xf numFmtId="3" fontId="3" fillId="8" borderId="31" xfId="0" applyNumberFormat="1" applyFont="1" applyFill="1" applyBorder="1" applyProtection="1">
      <protection locked="0"/>
    </xf>
    <xf numFmtId="3" fontId="3" fillId="8" borderId="37" xfId="0" applyNumberFormat="1" applyFont="1" applyFill="1" applyBorder="1" applyProtection="1">
      <protection locked="0"/>
    </xf>
    <xf numFmtId="3" fontId="3" fillId="8" borderId="39" xfId="0" applyNumberFormat="1" applyFont="1" applyFill="1" applyBorder="1" applyProtection="1">
      <protection locked="0"/>
    </xf>
    <xf numFmtId="3" fontId="3" fillId="8" borderId="38" xfId="0" applyNumberFormat="1" applyFont="1" applyFill="1" applyBorder="1" applyProtection="1">
      <protection locked="0"/>
    </xf>
    <xf numFmtId="3" fontId="3" fillId="8" borderId="31" xfId="2" applyNumberFormat="1" applyFont="1" applyFill="1" applyBorder="1" applyAlignment="1" applyProtection="1">
      <alignment horizontal="right" vertical="top"/>
      <protection locked="0"/>
    </xf>
    <xf numFmtId="3" fontId="3" fillId="4" borderId="37" xfId="2" applyNumberFormat="1" applyFont="1" applyFill="1" applyBorder="1" applyAlignment="1" applyProtection="1">
      <alignment horizontal="right" vertical="top"/>
      <protection locked="0"/>
    </xf>
    <xf numFmtId="3" fontId="3" fillId="4" borderId="39" xfId="2" applyNumberFormat="1" applyFont="1" applyFill="1" applyBorder="1" applyAlignment="1" applyProtection="1">
      <alignment horizontal="right" vertical="top"/>
      <protection locked="0"/>
    </xf>
    <xf numFmtId="3" fontId="3" fillId="4" borderId="38" xfId="2" applyNumberFormat="1" applyFont="1" applyFill="1" applyBorder="1" applyAlignment="1" applyProtection="1">
      <alignment horizontal="right" vertical="top"/>
      <protection locked="0"/>
    </xf>
    <xf numFmtId="165" fontId="17" fillId="0" borderId="16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wrapText="1"/>
    </xf>
    <xf numFmtId="165" fontId="17" fillId="0" borderId="17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right" vertical="top"/>
    </xf>
    <xf numFmtId="3" fontId="13" fillId="0" borderId="12" xfId="0" applyNumberFormat="1" applyFont="1" applyFill="1" applyBorder="1" applyAlignment="1" applyProtection="1">
      <alignment horizontal="right" vertical="top"/>
    </xf>
    <xf numFmtId="3" fontId="13" fillId="0" borderId="4" xfId="0" applyNumberFormat="1" applyFont="1" applyFill="1" applyBorder="1" applyAlignment="1" applyProtection="1">
      <alignment horizontal="right" vertical="top"/>
    </xf>
    <xf numFmtId="0" fontId="17" fillId="0" borderId="14" xfId="0" applyFont="1" applyFill="1" applyBorder="1" applyAlignment="1">
      <alignment wrapText="1"/>
    </xf>
    <xf numFmtId="0" fontId="17" fillId="11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wrapText="1"/>
    </xf>
    <xf numFmtId="0" fontId="17" fillId="11" borderId="16" xfId="0" applyFont="1" applyFill="1" applyBorder="1" applyAlignment="1" applyProtection="1">
      <alignment horizontal="center"/>
    </xf>
    <xf numFmtId="0" fontId="17" fillId="11" borderId="17" xfId="0" applyFont="1" applyFill="1" applyBorder="1" applyAlignment="1" applyProtection="1">
      <alignment horizontal="center"/>
    </xf>
    <xf numFmtId="3" fontId="17" fillId="0" borderId="16" xfId="0" applyNumberFormat="1" applyFont="1" applyFill="1" applyBorder="1" applyAlignment="1" applyProtection="1">
      <alignment horizontal="right" vertical="top"/>
    </xf>
    <xf numFmtId="3" fontId="17" fillId="0" borderId="0" xfId="0" applyNumberFormat="1" applyFont="1" applyFill="1" applyBorder="1" applyAlignment="1" applyProtection="1">
      <alignment horizontal="right" vertical="top"/>
    </xf>
    <xf numFmtId="3" fontId="17" fillId="0" borderId="12" xfId="0" applyNumberFormat="1" applyFont="1" applyFill="1" applyBorder="1" applyAlignment="1" applyProtection="1">
      <alignment horizontal="right" vertical="top"/>
    </xf>
    <xf numFmtId="3" fontId="17" fillId="0" borderId="4" xfId="0" applyNumberFormat="1" applyFont="1" applyFill="1" applyBorder="1" applyAlignment="1" applyProtection="1">
      <alignment horizontal="right" vertical="top"/>
    </xf>
    <xf numFmtId="3" fontId="17" fillId="0" borderId="17" xfId="0" applyNumberFormat="1" applyFont="1" applyFill="1" applyBorder="1" applyAlignment="1" applyProtection="1">
      <alignment horizontal="right" vertical="top"/>
    </xf>
    <xf numFmtId="3" fontId="17" fillId="0" borderId="7" xfId="0" applyNumberFormat="1" applyFont="1" applyFill="1" applyBorder="1" applyAlignment="1" applyProtection="1">
      <alignment horizontal="right" vertical="top"/>
    </xf>
    <xf numFmtId="3" fontId="17" fillId="0" borderId="13" xfId="0" applyNumberFormat="1" applyFont="1" applyFill="1" applyBorder="1" applyAlignment="1" applyProtection="1">
      <alignment horizontal="right" vertical="top"/>
    </xf>
    <xf numFmtId="3" fontId="17" fillId="0" borderId="6" xfId="0" applyNumberFormat="1" applyFont="1" applyFill="1" applyBorder="1" applyAlignment="1" applyProtection="1">
      <alignment horizontal="right" vertical="top"/>
    </xf>
    <xf numFmtId="0" fontId="3" fillId="1" borderId="17" xfId="0" applyFont="1" applyFill="1" applyBorder="1" applyProtection="1"/>
    <xf numFmtId="0" fontId="0" fillId="0" borderId="0" xfId="0" applyFill="1"/>
    <xf numFmtId="0" fontId="3" fillId="14" borderId="14" xfId="0" applyFont="1" applyFill="1" applyBorder="1"/>
    <xf numFmtId="3" fontId="3" fillId="14" borderId="16" xfId="0" applyNumberFormat="1" applyFont="1" applyFill="1" applyBorder="1" applyAlignment="1">
      <alignment horizontal="right"/>
    </xf>
    <xf numFmtId="3" fontId="3" fillId="14" borderId="0" xfId="1" applyNumberFormat="1" applyFont="1" applyFill="1" applyBorder="1" applyAlignment="1">
      <alignment horizontal="right"/>
    </xf>
    <xf numFmtId="3" fontId="3" fillId="14" borderId="12" xfId="1" applyNumberFormat="1" applyFont="1" applyFill="1" applyBorder="1" applyAlignment="1">
      <alignment horizontal="right"/>
    </xf>
    <xf numFmtId="3" fontId="3" fillId="14" borderId="4" xfId="1" applyNumberFormat="1" applyFont="1" applyFill="1" applyBorder="1" applyAlignment="1">
      <alignment horizontal="right"/>
    </xf>
    <xf numFmtId="165" fontId="19" fillId="9" borderId="16" xfId="0" applyNumberFormat="1" applyFont="1" applyFill="1" applyBorder="1" applyAlignment="1" applyProtection="1">
      <alignment horizontal="center"/>
    </xf>
    <xf numFmtId="165" fontId="19" fillId="9" borderId="17" xfId="0" applyNumberFormat="1" applyFont="1" applyFill="1" applyBorder="1" applyAlignment="1" applyProtection="1">
      <alignment horizontal="center"/>
    </xf>
    <xf numFmtId="0" fontId="3" fillId="0" borderId="7" xfId="0" applyFont="1" applyBorder="1" applyProtection="1"/>
    <xf numFmtId="9" fontId="3" fillId="4" borderId="0" xfId="2" applyFont="1" applyFill="1" applyBorder="1" applyAlignment="1" applyProtection="1">
      <alignment horizontal="right" vertical="top"/>
    </xf>
    <xf numFmtId="0" fontId="6" fillId="2" borderId="19" xfId="0" applyFont="1" applyFill="1" applyBorder="1" applyAlignment="1">
      <alignment wrapText="1"/>
    </xf>
    <xf numFmtId="3" fontId="3" fillId="0" borderId="12" xfId="2" applyNumberFormat="1" applyFont="1" applyFill="1" applyBorder="1" applyAlignment="1" applyProtection="1">
      <alignment horizontal="right" vertical="top"/>
    </xf>
    <xf numFmtId="3" fontId="3" fillId="3" borderId="19" xfId="2" applyNumberFormat="1" applyFont="1" applyFill="1" applyBorder="1" applyAlignment="1" applyProtection="1">
      <alignment horizontal="right" vertical="top"/>
    </xf>
    <xf numFmtId="3" fontId="3" fillId="3" borderId="12" xfId="2" applyNumberFormat="1" applyFont="1" applyFill="1" applyBorder="1" applyAlignment="1" applyProtection="1">
      <alignment horizontal="right" vertical="top"/>
    </xf>
    <xf numFmtId="3" fontId="3" fillId="4" borderId="4" xfId="2" applyNumberFormat="1" applyFont="1" applyFill="1" applyBorder="1" applyAlignment="1" applyProtection="1">
      <alignment horizontal="right" vertical="top"/>
    </xf>
    <xf numFmtId="0" fontId="13" fillId="0" borderId="5" xfId="0" applyFont="1" applyFill="1" applyBorder="1" applyAlignment="1" applyProtection="1">
      <alignment wrapText="1"/>
    </xf>
    <xf numFmtId="3" fontId="13" fillId="0" borderId="7" xfId="0" applyNumberFormat="1" applyFont="1" applyFill="1" applyBorder="1" applyAlignment="1" applyProtection="1">
      <alignment horizontal="right" vertical="top"/>
    </xf>
    <xf numFmtId="3" fontId="13" fillId="0" borderId="13" xfId="0" applyNumberFormat="1" applyFont="1" applyFill="1" applyBorder="1" applyAlignment="1" applyProtection="1">
      <alignment horizontal="right" vertical="top"/>
    </xf>
    <xf numFmtId="3" fontId="13" fillId="0" borderId="6" xfId="0" applyNumberFormat="1" applyFont="1" applyFill="1" applyBorder="1" applyAlignment="1" applyProtection="1">
      <alignment horizontal="right" vertical="top"/>
    </xf>
    <xf numFmtId="3" fontId="16" fillId="9" borderId="16" xfId="0" applyNumberFormat="1" applyFont="1" applyFill="1" applyBorder="1" applyAlignment="1">
      <alignment horizontal="center"/>
    </xf>
    <xf numFmtId="3" fontId="16" fillId="9" borderId="19" xfId="0" applyNumberFormat="1" applyFont="1" applyFill="1" applyBorder="1" applyProtection="1"/>
    <xf numFmtId="3" fontId="16" fillId="9" borderId="0" xfId="0" applyNumberFormat="1" applyFont="1" applyFill="1" applyBorder="1" applyProtection="1"/>
    <xf numFmtId="3" fontId="16" fillId="9" borderId="12" xfId="0" applyNumberFormat="1" applyFont="1" applyFill="1" applyBorder="1" applyProtection="1"/>
    <xf numFmtId="3" fontId="16" fillId="9" borderId="23" xfId="0" applyNumberFormat="1" applyFont="1" applyFill="1" applyBorder="1" applyProtection="1"/>
    <xf numFmtId="3" fontId="16" fillId="9" borderId="17" xfId="0" applyNumberFormat="1" applyFont="1" applyFill="1" applyBorder="1" applyAlignment="1">
      <alignment horizontal="center"/>
    </xf>
    <xf numFmtId="3" fontId="16" fillId="9" borderId="20" xfId="0" applyNumberFormat="1" applyFont="1" applyFill="1" applyBorder="1" applyProtection="1"/>
    <xf numFmtId="3" fontId="16" fillId="9" borderId="7" xfId="0" applyNumberFormat="1" applyFont="1" applyFill="1" applyBorder="1" applyProtection="1"/>
    <xf numFmtId="3" fontId="16" fillId="9" borderId="13" xfId="0" applyNumberFormat="1" applyFont="1" applyFill="1" applyBorder="1" applyProtection="1"/>
    <xf numFmtId="3" fontId="16" fillId="9" borderId="16" xfId="0" applyNumberFormat="1" applyFont="1" applyFill="1" applyBorder="1" applyAlignment="1">
      <alignment horizontal="right"/>
    </xf>
    <xf numFmtId="3" fontId="16" fillId="9" borderId="17" xfId="0" applyNumberFormat="1" applyFont="1" applyFill="1" applyBorder="1" applyAlignment="1">
      <alignment horizontal="right"/>
    </xf>
    <xf numFmtId="0" fontId="6" fillId="0" borderId="14" xfId="0" applyFont="1" applyFill="1" applyBorder="1" applyProtection="1"/>
    <xf numFmtId="0" fontId="6" fillId="0" borderId="9" xfId="0" applyFont="1" applyFill="1" applyBorder="1" applyAlignment="1">
      <alignment horizontal="left" vertical="center" wrapText="1"/>
    </xf>
    <xf numFmtId="9" fontId="3" fillId="16" borderId="41" xfId="2" applyFont="1" applyFill="1" applyBorder="1" applyAlignment="1">
      <alignment horizontal="right"/>
    </xf>
    <xf numFmtId="9" fontId="3" fillId="0" borderId="10" xfId="2" applyFont="1" applyFill="1" applyBorder="1" applyAlignment="1" applyProtection="1">
      <alignment horizontal="right" vertical="top"/>
    </xf>
    <xf numFmtId="9" fontId="3" fillId="0" borderId="26" xfId="2" applyFont="1" applyFill="1" applyBorder="1" applyAlignment="1" applyProtection="1">
      <alignment horizontal="right" vertical="top"/>
    </xf>
    <xf numFmtId="9" fontId="3" fillId="0" borderId="11" xfId="2" applyFont="1" applyFill="1" applyBorder="1" applyAlignment="1" applyProtection="1">
      <alignment horizontal="right" vertical="top"/>
    </xf>
    <xf numFmtId="0" fontId="3" fillId="8" borderId="37" xfId="0" applyFont="1" applyFill="1" applyBorder="1" applyAlignment="1" applyProtection="1">
      <alignment horizontal="right" vertical="top"/>
      <protection locked="0"/>
    </xf>
    <xf numFmtId="9" fontId="3" fillId="4" borderId="31" xfId="2" applyFont="1" applyFill="1" applyBorder="1" applyAlignment="1" applyProtection="1">
      <alignment horizontal="right" vertical="top"/>
      <protection locked="0"/>
    </xf>
    <xf numFmtId="2" fontId="13" fillId="4" borderId="42" xfId="0" applyNumberFormat="1" applyFont="1" applyFill="1" applyBorder="1" applyAlignment="1" applyProtection="1">
      <alignment horizontal="right" vertical="top"/>
    </xf>
    <xf numFmtId="0" fontId="3" fillId="2" borderId="19" xfId="0" applyFont="1" applyFill="1" applyBorder="1" applyAlignment="1" applyProtection="1">
      <alignment vertical="top"/>
    </xf>
    <xf numFmtId="3" fontId="5" fillId="0" borderId="19" xfId="1" applyNumberFormat="1" applyFont="1" applyFill="1" applyBorder="1" applyAlignment="1" applyProtection="1">
      <alignment horizontal="right" vertical="top"/>
    </xf>
    <xf numFmtId="3" fontId="5" fillId="0" borderId="0" xfId="1" applyNumberFormat="1" applyFont="1" applyFill="1" applyBorder="1" applyAlignment="1" applyProtection="1">
      <alignment horizontal="right" vertical="top"/>
    </xf>
    <xf numFmtId="3" fontId="5" fillId="0" borderId="12" xfId="1" applyNumberFormat="1" applyFont="1" applyFill="1" applyBorder="1" applyAlignment="1" applyProtection="1">
      <alignment horizontal="right" vertical="top"/>
    </xf>
    <xf numFmtId="3" fontId="5" fillId="0" borderId="4" xfId="1" applyNumberFormat="1" applyFont="1" applyFill="1" applyBorder="1" applyAlignment="1" applyProtection="1">
      <alignment horizontal="right" vertical="top"/>
    </xf>
    <xf numFmtId="3" fontId="5" fillId="0" borderId="20" xfId="1" applyNumberFormat="1" applyFont="1" applyFill="1" applyBorder="1" applyAlignment="1" applyProtection="1">
      <alignment horizontal="right" vertical="top"/>
    </xf>
    <xf numFmtId="3" fontId="5" fillId="0" borderId="7" xfId="1" applyNumberFormat="1" applyFont="1" applyFill="1" applyBorder="1" applyAlignment="1" applyProtection="1">
      <alignment horizontal="right" vertical="top"/>
    </xf>
    <xf numFmtId="3" fontId="5" fillId="0" borderId="13" xfId="1" applyNumberFormat="1" applyFont="1" applyFill="1" applyBorder="1" applyAlignment="1" applyProtection="1">
      <alignment horizontal="right" vertical="top"/>
    </xf>
    <xf numFmtId="3" fontId="5" fillId="0" borderId="6" xfId="1" applyNumberFormat="1" applyFont="1" applyFill="1" applyBorder="1" applyAlignment="1" applyProtection="1">
      <alignment horizontal="right" vertical="top"/>
    </xf>
    <xf numFmtId="3" fontId="16" fillId="9" borderId="19" xfId="0" applyNumberFormat="1" applyFont="1" applyFill="1" applyBorder="1" applyAlignment="1" applyProtection="1">
      <alignment vertical="top"/>
    </xf>
    <xf numFmtId="3" fontId="16" fillId="9" borderId="0" xfId="0" applyNumberFormat="1" applyFont="1" applyFill="1" applyBorder="1" applyAlignment="1" applyProtection="1">
      <alignment vertical="top"/>
    </xf>
    <xf numFmtId="3" fontId="16" fillId="9" borderId="12" xfId="0" applyNumberFormat="1" applyFont="1" applyFill="1" applyBorder="1" applyAlignment="1" applyProtection="1">
      <alignment vertical="top"/>
    </xf>
    <xf numFmtId="3" fontId="16" fillId="9" borderId="23" xfId="0" applyNumberFormat="1" applyFont="1" applyFill="1" applyBorder="1" applyAlignment="1" applyProtection="1">
      <alignment vertical="top"/>
    </xf>
    <xf numFmtId="3" fontId="16" fillId="9" borderId="4" xfId="0" applyNumberFormat="1" applyFont="1" applyFill="1" applyBorder="1" applyAlignment="1" applyProtection="1">
      <alignment vertical="top"/>
    </xf>
    <xf numFmtId="3" fontId="16" fillId="9" borderId="20" xfId="0" applyNumberFormat="1" applyFont="1" applyFill="1" applyBorder="1" applyAlignment="1" applyProtection="1">
      <alignment vertical="top"/>
    </xf>
    <xf numFmtId="3" fontId="16" fillId="9" borderId="7" xfId="0" applyNumberFormat="1" applyFont="1" applyFill="1" applyBorder="1" applyAlignment="1" applyProtection="1">
      <alignment vertical="top"/>
    </xf>
    <xf numFmtId="3" fontId="16" fillId="9" borderId="13" xfId="0" applyNumberFormat="1" applyFont="1" applyFill="1" applyBorder="1" applyAlignment="1" applyProtection="1">
      <alignment vertical="top"/>
    </xf>
    <xf numFmtId="3" fontId="16" fillId="9" borderId="6" xfId="0" applyNumberFormat="1" applyFont="1" applyFill="1" applyBorder="1" applyAlignment="1" applyProtection="1">
      <alignment vertical="top"/>
    </xf>
    <xf numFmtId="3" fontId="5" fillId="0" borderId="40" xfId="1" applyNumberFormat="1" applyFont="1" applyFill="1" applyBorder="1" applyAlignment="1" applyProtection="1">
      <alignment horizontal="right" vertical="top"/>
    </xf>
    <xf numFmtId="165" fontId="5" fillId="0" borderId="16" xfId="0" applyNumberFormat="1" applyFont="1" applyFill="1" applyBorder="1" applyAlignment="1" applyProtection="1">
      <alignment horizontal="center"/>
    </xf>
    <xf numFmtId="165" fontId="5" fillId="0" borderId="17" xfId="0" applyNumberFormat="1" applyFont="1" applyFill="1" applyBorder="1" applyAlignment="1" applyProtection="1">
      <alignment horizontal="center"/>
    </xf>
    <xf numFmtId="3" fontId="5" fillId="0" borderId="19" xfId="0" applyNumberFormat="1" applyFont="1" applyBorder="1" applyAlignment="1" applyProtection="1">
      <alignment horizontal="right" vertical="top"/>
    </xf>
    <xf numFmtId="3" fontId="5" fillId="0" borderId="0" xfId="0" applyNumberFormat="1" applyFont="1" applyBorder="1" applyAlignment="1" applyProtection="1">
      <alignment horizontal="right" vertical="top"/>
    </xf>
    <xf numFmtId="3" fontId="5" fillId="0" borderId="12" xfId="0" applyNumberFormat="1" applyFont="1" applyBorder="1" applyAlignment="1" applyProtection="1">
      <alignment horizontal="right" vertical="top"/>
    </xf>
    <xf numFmtId="3" fontId="5" fillId="0" borderId="4" xfId="0" applyNumberFormat="1" applyFont="1" applyBorder="1" applyAlignment="1" applyProtection="1">
      <alignment horizontal="right" vertical="top"/>
    </xf>
    <xf numFmtId="3" fontId="5" fillId="0" borderId="20" xfId="0" applyNumberFormat="1" applyFont="1" applyBorder="1" applyAlignment="1" applyProtection="1">
      <alignment horizontal="right" vertical="top"/>
    </xf>
    <xf numFmtId="3" fontId="5" fillId="0" borderId="7" xfId="0" applyNumberFormat="1" applyFont="1" applyBorder="1" applyAlignment="1" applyProtection="1">
      <alignment horizontal="right" vertical="top"/>
    </xf>
    <xf numFmtId="3" fontId="5" fillId="0" borderId="13" xfId="0" applyNumberFormat="1" applyFont="1" applyBorder="1" applyAlignment="1" applyProtection="1">
      <alignment horizontal="right" vertical="top"/>
    </xf>
    <xf numFmtId="3" fontId="5" fillId="0" borderId="6" xfId="0" applyNumberFormat="1" applyFont="1" applyBorder="1" applyAlignment="1" applyProtection="1">
      <alignment horizontal="right" vertical="top"/>
    </xf>
    <xf numFmtId="3" fontId="3" fillId="0" borderId="19" xfId="0" applyNumberFormat="1" applyFont="1" applyBorder="1"/>
    <xf numFmtId="3" fontId="3" fillId="0" borderId="12" xfId="0" applyNumberFormat="1" applyFont="1" applyBorder="1"/>
    <xf numFmtId="3" fontId="3" fillId="0" borderId="20" xfId="0" applyNumberFormat="1" applyFont="1" applyBorder="1"/>
    <xf numFmtId="3" fontId="3" fillId="0" borderId="13" xfId="0" applyNumberFormat="1" applyFont="1" applyBorder="1"/>
    <xf numFmtId="3" fontId="3" fillId="0" borderId="6" xfId="0" applyNumberFormat="1" applyFont="1" applyBorder="1"/>
    <xf numFmtId="3" fontId="5" fillId="0" borderId="19" xfId="0" applyNumberFormat="1" applyFont="1" applyBorder="1" applyProtection="1"/>
    <xf numFmtId="3" fontId="5" fillId="0" borderId="0" xfId="0" applyNumberFormat="1" applyFont="1" applyBorder="1" applyProtection="1"/>
    <xf numFmtId="3" fontId="5" fillId="0" borderId="12" xfId="0" applyNumberFormat="1" applyFont="1" applyBorder="1" applyProtection="1"/>
    <xf numFmtId="3" fontId="5" fillId="0" borderId="4" xfId="0" applyNumberFormat="1" applyFont="1" applyBorder="1" applyProtection="1"/>
    <xf numFmtId="3" fontId="5" fillId="0" borderId="19" xfId="1" applyNumberFormat="1" applyFont="1" applyFill="1" applyBorder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center"/>
    </xf>
    <xf numFmtId="3" fontId="5" fillId="0" borderId="12" xfId="1" applyNumberFormat="1" applyFont="1" applyFill="1" applyBorder="1" applyAlignment="1" applyProtection="1">
      <alignment horizontal="center"/>
    </xf>
    <xf numFmtId="3" fontId="5" fillId="0" borderId="20" xfId="1" applyNumberFormat="1" applyFont="1" applyFill="1" applyBorder="1" applyAlignment="1" applyProtection="1">
      <alignment horizontal="center"/>
    </xf>
    <xf numFmtId="3" fontId="5" fillId="0" borderId="7" xfId="1" applyNumberFormat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center"/>
    </xf>
    <xf numFmtId="3" fontId="5" fillId="0" borderId="6" xfId="0" applyNumberFormat="1" applyFont="1" applyBorder="1" applyProtection="1"/>
    <xf numFmtId="3" fontId="3" fillId="0" borderId="12" xfId="0" applyNumberFormat="1" applyFont="1" applyFill="1" applyBorder="1"/>
    <xf numFmtId="3" fontId="3" fillId="0" borderId="10" xfId="0" applyNumberFormat="1" applyFont="1" applyFill="1" applyBorder="1"/>
    <xf numFmtId="3" fontId="3" fillId="0" borderId="26" xfId="0" applyNumberFormat="1" applyFont="1" applyFill="1" applyBorder="1"/>
    <xf numFmtId="3" fontId="3" fillId="8" borderId="35" xfId="2" applyNumberFormat="1" applyFont="1" applyFill="1" applyBorder="1" applyAlignment="1" applyProtection="1">
      <alignment horizontal="right" vertical="top"/>
    </xf>
    <xf numFmtId="3" fontId="16" fillId="9" borderId="16" xfId="0" applyNumberFormat="1" applyFont="1" applyFill="1" applyBorder="1" applyAlignment="1" applyProtection="1">
      <alignment horizontal="center"/>
    </xf>
    <xf numFmtId="3" fontId="16" fillId="9" borderId="17" xfId="0" applyNumberFormat="1" applyFont="1" applyFill="1" applyBorder="1" applyAlignment="1" applyProtection="1">
      <alignment horizontal="center"/>
    </xf>
    <xf numFmtId="3" fontId="3" fillId="0" borderId="16" xfId="0" applyNumberFormat="1" applyFont="1" applyFill="1" applyBorder="1" applyAlignment="1" applyProtection="1">
      <alignment horizontal="center"/>
    </xf>
    <xf numFmtId="3" fontId="3" fillId="0" borderId="19" xfId="0" applyNumberFormat="1" applyFont="1" applyBorder="1" applyProtection="1"/>
    <xf numFmtId="3" fontId="3" fillId="0" borderId="4" xfId="0" applyNumberFormat="1" applyFont="1" applyBorder="1" applyProtection="1"/>
    <xf numFmtId="3" fontId="3" fillId="0" borderId="17" xfId="0" applyNumberFormat="1" applyFont="1" applyFill="1" applyBorder="1" applyAlignment="1" applyProtection="1">
      <alignment horizontal="center"/>
    </xf>
    <xf numFmtId="3" fontId="3" fillId="0" borderId="20" xfId="0" applyNumberFormat="1" applyFont="1" applyBorder="1" applyProtection="1"/>
    <xf numFmtId="3" fontId="3" fillId="0" borderId="7" xfId="0" applyNumberFormat="1" applyFont="1" applyBorder="1" applyProtection="1"/>
    <xf numFmtId="3" fontId="3" fillId="0" borderId="13" xfId="0" applyNumberFormat="1" applyFont="1" applyBorder="1" applyProtection="1"/>
    <xf numFmtId="3" fontId="3" fillId="0" borderId="6" xfId="0" applyNumberFormat="1" applyFont="1" applyBorder="1" applyProtection="1"/>
    <xf numFmtId="0" fontId="3" fillId="8" borderId="31" xfId="0" applyFont="1" applyFill="1" applyBorder="1" applyProtection="1">
      <protection locked="0"/>
    </xf>
    <xf numFmtId="0" fontId="5" fillId="0" borderId="0" xfId="0" applyFont="1" applyAlignment="1">
      <alignment horizontal="center"/>
    </xf>
    <xf numFmtId="166" fontId="7" fillId="0" borderId="0" xfId="0" applyNumberFormat="1" applyFont="1" applyBorder="1" applyAlignment="1">
      <alignment vertical="center"/>
    </xf>
    <xf numFmtId="3" fontId="3" fillId="2" borderId="0" xfId="1" applyNumberFormat="1" applyFont="1" applyFill="1" applyBorder="1" applyAlignment="1" applyProtection="1">
      <alignment vertical="top"/>
    </xf>
    <xf numFmtId="9" fontId="13" fillId="2" borderId="0" xfId="2" applyFont="1" applyFill="1" applyBorder="1" applyAlignment="1" applyProtection="1">
      <alignment vertical="top" wrapText="1"/>
    </xf>
    <xf numFmtId="0" fontId="3" fillId="14" borderId="1" xfId="0" applyFont="1" applyFill="1" applyBorder="1" applyAlignment="1" applyProtection="1">
      <alignment horizontal="left" vertical="top" wrapText="1"/>
    </xf>
    <xf numFmtId="3" fontId="3" fillId="14" borderId="16" xfId="0" applyNumberFormat="1" applyFont="1" applyFill="1" applyBorder="1" applyAlignment="1" applyProtection="1">
      <alignment horizontal="right" vertical="top"/>
    </xf>
    <xf numFmtId="3" fontId="3" fillId="14" borderId="22" xfId="0" applyNumberFormat="1" applyFont="1" applyFill="1" applyBorder="1" applyAlignment="1" applyProtection="1">
      <alignment horizontal="right" vertical="top"/>
    </xf>
    <xf numFmtId="3" fontId="3" fillId="14" borderId="8" xfId="0" applyNumberFormat="1" applyFont="1" applyFill="1" applyBorder="1" applyAlignment="1" applyProtection="1">
      <alignment horizontal="right" vertical="top"/>
    </xf>
    <xf numFmtId="3" fontId="3" fillId="14" borderId="23" xfId="0" applyNumberFormat="1" applyFont="1" applyFill="1" applyBorder="1" applyAlignment="1" applyProtection="1">
      <alignment horizontal="right" vertical="top"/>
    </xf>
    <xf numFmtId="3" fontId="3" fillId="14" borderId="22" xfId="1" applyNumberFormat="1" applyFont="1" applyFill="1" applyBorder="1" applyAlignment="1" applyProtection="1">
      <alignment horizontal="right" vertical="top"/>
    </xf>
    <xf numFmtId="3" fontId="3" fillId="14" borderId="8" xfId="1" applyNumberFormat="1" applyFont="1" applyFill="1" applyBorder="1" applyAlignment="1" applyProtection="1">
      <alignment horizontal="right" vertical="top"/>
    </xf>
    <xf numFmtId="3" fontId="3" fillId="14" borderId="23" xfId="1" applyNumberFormat="1" applyFont="1" applyFill="1" applyBorder="1" applyAlignment="1" applyProtection="1">
      <alignment horizontal="right" vertical="top"/>
    </xf>
    <xf numFmtId="3" fontId="3" fillId="14" borderId="2" xfId="1" applyNumberFormat="1" applyFont="1" applyFill="1" applyBorder="1" applyAlignment="1" applyProtection="1">
      <alignment horizontal="right" vertical="top"/>
    </xf>
    <xf numFmtId="0" fontId="3" fillId="14" borderId="3" xfId="0" applyFont="1" applyFill="1" applyBorder="1" applyAlignment="1" applyProtection="1">
      <alignment horizontal="left" vertical="top" wrapText="1"/>
    </xf>
    <xf numFmtId="0" fontId="3" fillId="14" borderId="16" xfId="0" applyFont="1" applyFill="1" applyBorder="1" applyAlignment="1" applyProtection="1">
      <alignment horizontal="right" vertical="top"/>
    </xf>
    <xf numFmtId="3" fontId="3" fillId="14" borderId="19" xfId="0" applyNumberFormat="1" applyFont="1" applyFill="1" applyBorder="1" applyAlignment="1" applyProtection="1">
      <alignment horizontal="right" vertical="top"/>
    </xf>
    <xf numFmtId="3" fontId="3" fillId="14" borderId="0" xfId="0" applyNumberFormat="1" applyFont="1" applyFill="1" applyBorder="1" applyAlignment="1" applyProtection="1">
      <alignment horizontal="right" vertical="top"/>
    </xf>
    <xf numFmtId="3" fontId="3" fillId="14" borderId="12" xfId="0" applyNumberFormat="1" applyFont="1" applyFill="1" applyBorder="1" applyAlignment="1" applyProtection="1">
      <alignment horizontal="right" vertical="top"/>
    </xf>
    <xf numFmtId="3" fontId="3" fillId="14" borderId="19" xfId="1" applyNumberFormat="1" applyFont="1" applyFill="1" applyBorder="1" applyAlignment="1" applyProtection="1">
      <alignment horizontal="right" vertical="top"/>
    </xf>
    <xf numFmtId="3" fontId="3" fillId="14" borderId="0" xfId="1" applyNumberFormat="1" applyFont="1" applyFill="1" applyBorder="1" applyAlignment="1" applyProtection="1">
      <alignment horizontal="right" vertical="top"/>
    </xf>
    <xf numFmtId="3" fontId="3" fillId="14" borderId="12" xfId="1" applyNumberFormat="1" applyFont="1" applyFill="1" applyBorder="1" applyAlignment="1" applyProtection="1">
      <alignment horizontal="right" vertical="top"/>
    </xf>
    <xf numFmtId="3" fontId="3" fillId="14" borderId="4" xfId="1" applyNumberFormat="1" applyFont="1" applyFill="1" applyBorder="1" applyAlignment="1" applyProtection="1">
      <alignment horizontal="right" vertical="top"/>
    </xf>
    <xf numFmtId="0" fontId="17" fillId="14" borderId="3" xfId="0" applyFont="1" applyFill="1" applyBorder="1" applyAlignment="1" applyProtection="1">
      <alignment wrapText="1"/>
    </xf>
    <xf numFmtId="3" fontId="17" fillId="14" borderId="16" xfId="0" applyNumberFormat="1" applyFont="1" applyFill="1" applyBorder="1" applyAlignment="1" applyProtection="1">
      <alignment horizontal="right" vertical="top"/>
    </xf>
    <xf numFmtId="0" fontId="17" fillId="14" borderId="5" xfId="0" applyFont="1" applyFill="1" applyBorder="1" applyAlignment="1" applyProtection="1">
      <alignment wrapText="1"/>
    </xf>
    <xf numFmtId="3" fontId="17" fillId="14" borderId="17" xfId="0" applyNumberFormat="1" applyFont="1" applyFill="1" applyBorder="1" applyAlignment="1" applyProtection="1">
      <alignment horizontal="right" vertical="top"/>
    </xf>
    <xf numFmtId="3" fontId="17" fillId="14" borderId="7" xfId="0" applyNumberFormat="1" applyFont="1" applyFill="1" applyBorder="1" applyAlignment="1" applyProtection="1">
      <alignment horizontal="right" vertical="top"/>
    </xf>
    <xf numFmtId="3" fontId="17" fillId="14" borderId="13" xfId="0" applyNumberFormat="1" applyFont="1" applyFill="1" applyBorder="1" applyAlignment="1" applyProtection="1">
      <alignment horizontal="right" vertical="top"/>
    </xf>
    <xf numFmtId="3" fontId="17" fillId="14" borderId="6" xfId="0" applyNumberFormat="1" applyFont="1" applyFill="1" applyBorder="1" applyAlignment="1" applyProtection="1">
      <alignment horizontal="right" vertical="top"/>
    </xf>
    <xf numFmtId="3" fontId="13" fillId="14" borderId="8" xfId="0" applyNumberFormat="1" applyFont="1" applyFill="1" applyBorder="1" applyAlignment="1" applyProtection="1">
      <alignment horizontal="right" vertical="top"/>
    </xf>
    <xf numFmtId="3" fontId="13" fillId="14" borderId="23" xfId="0" applyNumberFormat="1" applyFont="1" applyFill="1" applyBorder="1" applyAlignment="1" applyProtection="1">
      <alignment horizontal="right" vertical="top"/>
    </xf>
    <xf numFmtId="3" fontId="13" fillId="14" borderId="2" xfId="0" applyNumberFormat="1" applyFont="1" applyFill="1" applyBorder="1" applyAlignment="1" applyProtection="1">
      <alignment horizontal="right" vertical="top"/>
    </xf>
    <xf numFmtId="3" fontId="13" fillId="14" borderId="0" xfId="0" applyNumberFormat="1" applyFont="1" applyFill="1" applyBorder="1" applyAlignment="1" applyProtection="1">
      <alignment horizontal="right" vertical="top"/>
    </xf>
    <xf numFmtId="3" fontId="13" fillId="14" borderId="12" xfId="0" applyNumberFormat="1" applyFont="1" applyFill="1" applyBorder="1" applyAlignment="1" applyProtection="1">
      <alignment horizontal="right" vertical="top"/>
    </xf>
    <xf numFmtId="3" fontId="13" fillId="14" borderId="4" xfId="0" applyNumberFormat="1" applyFont="1" applyFill="1" applyBorder="1" applyAlignment="1" applyProtection="1">
      <alignment horizontal="right" vertical="top"/>
    </xf>
    <xf numFmtId="0" fontId="4" fillId="0" borderId="12" xfId="0" applyFont="1" applyBorder="1" applyAlignment="1" applyProtection="1">
      <alignment horizontal="center" wrapText="1"/>
    </xf>
    <xf numFmtId="0" fontId="3" fillId="3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3" fillId="9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3" fillId="14" borderId="0" xfId="0" applyFont="1" applyFill="1" applyAlignment="1">
      <alignment wrapText="1"/>
    </xf>
    <xf numFmtId="0" fontId="13" fillId="0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 indent="2"/>
    </xf>
    <xf numFmtId="3" fontId="19" fillId="9" borderId="16" xfId="0" applyNumberFormat="1" applyFont="1" applyFill="1" applyBorder="1" applyAlignment="1" applyProtection="1">
      <alignment horizontal="right" vertical="top"/>
    </xf>
    <xf numFmtId="3" fontId="19" fillId="9" borderId="17" xfId="0" applyNumberFormat="1" applyFont="1" applyFill="1" applyBorder="1" applyAlignment="1" applyProtection="1">
      <alignment horizontal="right" vertical="top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6" fillId="0" borderId="27" xfId="0" applyFont="1" applyBorder="1" applyAlignment="1" applyProtection="1">
      <alignment horizontal="left" wrapText="1"/>
    </xf>
    <xf numFmtId="0" fontId="6" fillId="0" borderId="21" xfId="0" applyFont="1" applyBorder="1" applyAlignment="1" applyProtection="1">
      <alignment horizontal="left" wrapText="1"/>
    </xf>
    <xf numFmtId="0" fontId="3" fillId="0" borderId="27" xfId="0" applyFont="1" applyBorder="1" applyAlignment="1" applyProtection="1">
      <alignment horizontal="left" wrapText="1"/>
    </xf>
    <xf numFmtId="0" fontId="3" fillId="0" borderId="21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0" borderId="12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6" fillId="0" borderId="26" xfId="0" applyFont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 wrapText="1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2" fontId="5" fillId="0" borderId="30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168" fontId="4" fillId="2" borderId="19" xfId="0" applyNumberFormat="1" applyFont="1" applyFill="1" applyBorder="1" applyAlignment="1">
      <alignment horizontal="center" wrapText="1"/>
    </xf>
    <xf numFmtId="168" fontId="4" fillId="2" borderId="0" xfId="0" applyNumberFormat="1" applyFont="1" applyFill="1" applyBorder="1" applyAlignment="1">
      <alignment horizontal="center" wrapText="1"/>
    </xf>
    <xf numFmtId="168" fontId="4" fillId="2" borderId="25" xfId="0" applyNumberFormat="1" applyFont="1" applyFill="1" applyBorder="1" applyAlignment="1">
      <alignment horizontal="center" wrapText="1"/>
    </xf>
    <xf numFmtId="168" fontId="4" fillId="2" borderId="10" xfId="0" applyNumberFormat="1" applyFont="1" applyFill="1" applyBorder="1" applyAlignment="1">
      <alignment horizontal="center" wrapText="1"/>
    </xf>
    <xf numFmtId="0" fontId="5" fillId="0" borderId="27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">
    <cellStyle name="Ezres" xfId="1" builtinId="3"/>
    <cellStyle name="Ezres 3" xfId="3"/>
    <cellStyle name="Ezres 4" xfId="4"/>
    <cellStyle name="Normál" xfId="0" builtinId="0"/>
    <cellStyle name="Százalék" xfId="2" builtinId="5"/>
  </cellStyles>
  <dxfs count="0"/>
  <tableStyles count="0" defaultTableStyle="TableStyleMedium2" defaultPivotStyle="PivotStyleMedium9"/>
  <colors>
    <mruColors>
      <color rgb="FFE26B0A"/>
      <color rgb="FFFFD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42"/>
  <sheetViews>
    <sheetView showGridLines="0" tabSelected="1" workbookViewId="0">
      <selection activeCell="C33" sqref="C33"/>
    </sheetView>
  </sheetViews>
  <sheetFormatPr defaultRowHeight="15" x14ac:dyDescent="0.25"/>
  <cols>
    <col min="1" max="1" width="121.28515625" style="10" customWidth="1"/>
    <col min="2" max="16384" width="9.140625" style="7"/>
  </cols>
  <sheetData>
    <row r="1" spans="1:1" x14ac:dyDescent="0.25">
      <c r="A1" s="847" t="s">
        <v>225</v>
      </c>
    </row>
    <row r="2" spans="1:1" x14ac:dyDescent="0.25">
      <c r="A2" s="847"/>
    </row>
    <row r="3" spans="1:1" x14ac:dyDescent="0.25">
      <c r="A3" s="848" t="s">
        <v>229</v>
      </c>
    </row>
    <row r="4" spans="1:1" ht="60" x14ac:dyDescent="0.25">
      <c r="A4" s="10" t="s">
        <v>233</v>
      </c>
    </row>
    <row r="5" spans="1:1" ht="6" customHeight="1" x14ac:dyDescent="0.25"/>
    <row r="6" spans="1:1" x14ac:dyDescent="0.25">
      <c r="A6" s="848" t="s">
        <v>56</v>
      </c>
    </row>
    <row r="7" spans="1:1" ht="45" x14ac:dyDescent="0.25">
      <c r="A7" s="10" t="s">
        <v>438</v>
      </c>
    </row>
    <row r="8" spans="1:1" ht="6" customHeight="1" x14ac:dyDescent="0.25"/>
    <row r="9" spans="1:1" x14ac:dyDescent="0.25">
      <c r="A9" s="848" t="s">
        <v>230</v>
      </c>
    </row>
    <row r="10" spans="1:1" ht="45" x14ac:dyDescent="0.25">
      <c r="A10" s="10" t="s">
        <v>231</v>
      </c>
    </row>
    <row r="11" spans="1:1" x14ac:dyDescent="0.25">
      <c r="A11" s="849" t="s">
        <v>227</v>
      </c>
    </row>
    <row r="12" spans="1:1" ht="30" x14ac:dyDescent="0.25">
      <c r="A12" s="850" t="s">
        <v>439</v>
      </c>
    </row>
    <row r="13" spans="1:1" x14ac:dyDescent="0.25">
      <c r="A13" s="849" t="s">
        <v>228</v>
      </c>
    </row>
    <row r="14" spans="1:1" ht="45" x14ac:dyDescent="0.25">
      <c r="A14" s="850" t="s">
        <v>440</v>
      </c>
    </row>
    <row r="15" spans="1:1" x14ac:dyDescent="0.25">
      <c r="A15" s="849" t="s">
        <v>232</v>
      </c>
    </row>
    <row r="16" spans="1:1" ht="75" x14ac:dyDescent="0.25">
      <c r="A16" s="850" t="s">
        <v>441</v>
      </c>
    </row>
    <row r="17" spans="1:1" ht="6" customHeight="1" x14ac:dyDescent="0.25"/>
    <row r="18" spans="1:1" x14ac:dyDescent="0.25">
      <c r="A18" s="848" t="s">
        <v>234</v>
      </c>
    </row>
    <row r="19" spans="1:1" ht="60" x14ac:dyDescent="0.25">
      <c r="A19" s="10" t="s">
        <v>235</v>
      </c>
    </row>
    <row r="20" spans="1:1" ht="6" customHeight="1" x14ac:dyDescent="0.25"/>
    <row r="21" spans="1:1" x14ac:dyDescent="0.25">
      <c r="A21" s="848" t="s">
        <v>236</v>
      </c>
    </row>
    <row r="22" spans="1:1" x14ac:dyDescent="0.25">
      <c r="A22" s="105" t="s">
        <v>228</v>
      </c>
    </row>
    <row r="23" spans="1:1" x14ac:dyDescent="0.25">
      <c r="A23" s="840" t="s">
        <v>227</v>
      </c>
    </row>
    <row r="24" spans="1:1" x14ac:dyDescent="0.25">
      <c r="A24" s="841" t="s">
        <v>237</v>
      </c>
    </row>
    <row r="25" spans="1:1" x14ac:dyDescent="0.25">
      <c r="A25" s="842" t="s">
        <v>238</v>
      </c>
    </row>
    <row r="26" spans="1:1" x14ac:dyDescent="0.25">
      <c r="A26" s="843" t="s">
        <v>239</v>
      </c>
    </row>
    <row r="27" spans="1:1" x14ac:dyDescent="0.25">
      <c r="A27" s="844" t="s">
        <v>410</v>
      </c>
    </row>
    <row r="28" spans="1:1" ht="15.75" thickBot="1" x14ac:dyDescent="0.3">
      <c r="A28" s="845" t="s">
        <v>442</v>
      </c>
    </row>
    <row r="29" spans="1:1" ht="45.75" thickBot="1" x14ac:dyDescent="0.3">
      <c r="A29" s="846" t="s">
        <v>443</v>
      </c>
    </row>
    <row r="30" spans="1:1" ht="6" customHeight="1" x14ac:dyDescent="0.25"/>
    <row r="31" spans="1:1" x14ac:dyDescent="0.25">
      <c r="A31" s="848" t="s">
        <v>412</v>
      </c>
    </row>
    <row r="32" spans="1:1" x14ac:dyDescent="0.25">
      <c r="A32" s="10" t="s">
        <v>413</v>
      </c>
    </row>
    <row r="33" spans="1:1" ht="6" customHeight="1" x14ac:dyDescent="0.25"/>
    <row r="34" spans="1:1" x14ac:dyDescent="0.25">
      <c r="A34" s="848" t="s">
        <v>240</v>
      </c>
    </row>
    <row r="35" spans="1:1" s="18" customFormat="1" x14ac:dyDescent="0.25">
      <c r="A35" s="849" t="s">
        <v>265</v>
      </c>
    </row>
    <row r="36" spans="1:1" ht="30" x14ac:dyDescent="0.25">
      <c r="A36" s="850" t="s">
        <v>320</v>
      </c>
    </row>
    <row r="37" spans="1:1" s="18" customFormat="1" x14ac:dyDescent="0.25">
      <c r="A37" s="849" t="s">
        <v>118</v>
      </c>
    </row>
    <row r="38" spans="1:1" ht="30" x14ac:dyDescent="0.25">
      <c r="A38" s="850" t="s">
        <v>411</v>
      </c>
    </row>
    <row r="39" spans="1:1" s="18" customFormat="1" x14ac:dyDescent="0.25">
      <c r="A39" s="849" t="s">
        <v>241</v>
      </c>
    </row>
    <row r="40" spans="1:1" ht="30" x14ac:dyDescent="0.25">
      <c r="A40" s="850" t="s">
        <v>244</v>
      </c>
    </row>
    <row r="41" spans="1:1" s="18" customFormat="1" x14ac:dyDescent="0.25">
      <c r="A41" s="849" t="s">
        <v>242</v>
      </c>
    </row>
    <row r="42" spans="1:1" x14ac:dyDescent="0.25">
      <c r="A42" s="850" t="s">
        <v>245</v>
      </c>
    </row>
  </sheetData>
  <sheetProtection algorithmName="SHA-512" hashValue="u3l0Vlt9m+ZwOs4EoARLJbdWAYsjVgNTfugMfHVB1g9Uml4k6qLs+yzhV9xjGs09tYgvZDor/nMWWWEKvlqh/A==" saltValue="Qd90568NCDqK2lbMwxbPmQ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Normal="100" workbookViewId="0">
      <selection activeCell="C23" sqref="C23"/>
    </sheetView>
  </sheetViews>
  <sheetFormatPr defaultRowHeight="15" x14ac:dyDescent="0.25"/>
  <cols>
    <col min="1" max="1" width="9.140625" style="7"/>
    <col min="2" max="2" width="39.85546875" style="7" customWidth="1"/>
    <col min="3" max="3" width="17.42578125" style="7" bestFit="1" customWidth="1"/>
    <col min="4" max="10" width="14.140625" style="7" customWidth="1"/>
    <col min="11" max="16384" width="9.140625" style="7"/>
  </cols>
  <sheetData>
    <row r="1" spans="2:10" ht="15.75" thickBot="1" x14ac:dyDescent="0.3"/>
    <row r="2" spans="2:10" x14ac:dyDescent="0.25">
      <c r="B2" s="853" t="s">
        <v>392</v>
      </c>
      <c r="C2" s="855" t="s">
        <v>10</v>
      </c>
      <c r="D2" s="857" t="s">
        <v>1</v>
      </c>
      <c r="E2" s="858"/>
      <c r="F2" s="859"/>
      <c r="G2" s="857" t="s">
        <v>99</v>
      </c>
      <c r="H2" s="858"/>
      <c r="I2" s="859"/>
      <c r="J2" s="861" t="s">
        <v>112</v>
      </c>
    </row>
    <row r="3" spans="2:10" ht="15.75" thickBot="1" x14ac:dyDescent="0.3">
      <c r="B3" s="854"/>
      <c r="C3" s="856"/>
      <c r="D3" s="288" t="s">
        <v>86</v>
      </c>
      <c r="E3" s="289" t="s">
        <v>87</v>
      </c>
      <c r="F3" s="290" t="s">
        <v>112</v>
      </c>
      <c r="G3" s="288" t="s">
        <v>86</v>
      </c>
      <c r="H3" s="289" t="s">
        <v>87</v>
      </c>
      <c r="I3" s="290" t="s">
        <v>112</v>
      </c>
      <c r="J3" s="862"/>
    </row>
    <row r="4" spans="2:10" x14ac:dyDescent="0.25">
      <c r="B4" s="84" t="s">
        <v>51</v>
      </c>
      <c r="C4" s="495">
        <f>$C8</f>
        <v>237403736</v>
      </c>
      <c r="D4" s="139">
        <f t="shared" ref="D4:J4" si="0">$C8</f>
        <v>237403736</v>
      </c>
      <c r="E4" s="140">
        <f t="shared" si="0"/>
        <v>237403736</v>
      </c>
      <c r="F4" s="141">
        <f t="shared" si="0"/>
        <v>237403736</v>
      </c>
      <c r="G4" s="139">
        <f t="shared" si="0"/>
        <v>237403736</v>
      </c>
      <c r="H4" s="140">
        <f t="shared" si="0"/>
        <v>237403736</v>
      </c>
      <c r="I4" s="142">
        <f t="shared" si="0"/>
        <v>237403736</v>
      </c>
      <c r="J4" s="526">
        <f t="shared" si="0"/>
        <v>237403736</v>
      </c>
    </row>
    <row r="5" spans="2:10" x14ac:dyDescent="0.25">
      <c r="B5" s="84" t="s">
        <v>52</v>
      </c>
      <c r="C5" s="495">
        <f t="shared" ref="C5:J6" si="1">$C9</f>
        <v>13082.978948528602</v>
      </c>
      <c r="D5" s="139">
        <f t="shared" si="1"/>
        <v>13082.978948528602</v>
      </c>
      <c r="E5" s="140">
        <f t="shared" si="1"/>
        <v>13082.978948528602</v>
      </c>
      <c r="F5" s="141">
        <f t="shared" si="1"/>
        <v>13082.978948528602</v>
      </c>
      <c r="G5" s="139">
        <f t="shared" si="1"/>
        <v>13082.978948528602</v>
      </c>
      <c r="H5" s="140">
        <f t="shared" si="1"/>
        <v>13082.978948528602</v>
      </c>
      <c r="I5" s="141">
        <f t="shared" si="1"/>
        <v>13082.978948528602</v>
      </c>
      <c r="J5" s="526">
        <f t="shared" si="1"/>
        <v>13082.978948528602</v>
      </c>
    </row>
    <row r="6" spans="2:10" ht="15.75" thickBot="1" x14ac:dyDescent="0.3">
      <c r="B6" s="85" t="s">
        <v>53</v>
      </c>
      <c r="C6" s="528">
        <f t="shared" si="1"/>
        <v>35.843777941174253</v>
      </c>
      <c r="D6" s="143">
        <f t="shared" si="1"/>
        <v>35.843777941174253</v>
      </c>
      <c r="E6" s="144">
        <f t="shared" si="1"/>
        <v>35.843777941174253</v>
      </c>
      <c r="F6" s="145">
        <f t="shared" si="1"/>
        <v>35.843777941174253</v>
      </c>
      <c r="G6" s="143">
        <f t="shared" si="1"/>
        <v>35.843777941174253</v>
      </c>
      <c r="H6" s="144">
        <f t="shared" si="1"/>
        <v>35.843777941174253</v>
      </c>
      <c r="I6" s="145">
        <f t="shared" si="1"/>
        <v>35.843777941174253</v>
      </c>
      <c r="J6" s="527">
        <f t="shared" si="1"/>
        <v>35.843777941174253</v>
      </c>
    </row>
    <row r="7" spans="2:10" ht="15.75" thickBot="1" x14ac:dyDescent="0.3">
      <c r="C7" s="299"/>
      <c r="D7" s="190"/>
      <c r="E7" s="190"/>
      <c r="F7" s="190"/>
      <c r="G7" s="190"/>
      <c r="H7" s="190"/>
      <c r="I7" s="190"/>
      <c r="J7" s="190"/>
    </row>
    <row r="8" spans="2:10" x14ac:dyDescent="0.25">
      <c r="B8" s="6" t="s">
        <v>51</v>
      </c>
      <c r="C8" s="29">
        <f>C16-C17</f>
        <v>237403736</v>
      </c>
    </row>
    <row r="9" spans="2:10" x14ac:dyDescent="0.25">
      <c r="B9" s="14" t="s">
        <v>52</v>
      </c>
      <c r="C9" s="27">
        <f>C8/'1. Paraméterek - Eredmények'!C38</f>
        <v>13082.978948528602</v>
      </c>
    </row>
    <row r="10" spans="2:10" ht="15.75" thickBot="1" x14ac:dyDescent="0.3">
      <c r="B10" s="8" t="s">
        <v>53</v>
      </c>
      <c r="C10" s="28">
        <f>C9/365</f>
        <v>35.843777941174253</v>
      </c>
    </row>
    <row r="13" spans="2:10" ht="31.5" x14ac:dyDescent="0.25">
      <c r="B13" s="21" t="s">
        <v>44</v>
      </c>
      <c r="C13" s="21" t="s">
        <v>390</v>
      </c>
      <c r="D13" s="21"/>
    </row>
    <row r="14" spans="2:10" ht="47.25" x14ac:dyDescent="0.25">
      <c r="B14" s="22" t="s">
        <v>45</v>
      </c>
      <c r="C14" s="22" t="s">
        <v>46</v>
      </c>
      <c r="D14" s="22" t="s">
        <v>47</v>
      </c>
    </row>
    <row r="15" spans="2:10" ht="47.25" x14ac:dyDescent="0.25">
      <c r="B15" s="22" t="s">
        <v>48</v>
      </c>
      <c r="C15" s="22" t="s">
        <v>391</v>
      </c>
      <c r="D15" s="23"/>
    </row>
    <row r="16" spans="2:10" ht="31.5" x14ac:dyDescent="0.25">
      <c r="B16" s="26" t="s">
        <v>49</v>
      </c>
      <c r="C16" s="805">
        <v>266464790</v>
      </c>
      <c r="D16" s="24"/>
    </row>
    <row r="17" spans="2:4" ht="15.75" x14ac:dyDescent="0.25">
      <c r="B17" s="25" t="s">
        <v>50</v>
      </c>
      <c r="C17" s="805">
        <v>29061054</v>
      </c>
      <c r="D17" s="25"/>
    </row>
  </sheetData>
  <sheetProtection algorithmName="SHA-512" hashValue="dS70NJdx995xk2ywMG10GkJJ05O4rpLvl7LGetwdyGVuXtjaC33h+FkMc0Ji/vOFS6atSco+wYY/FuRMf/5dDA==" saltValue="JLqRzJAjYSr5JsRXlpARLg==" spinCount="100000" sheet="1" objects="1" scenarios="1"/>
  <mergeCells count="5">
    <mergeCell ref="C2:C3"/>
    <mergeCell ref="D2:F2"/>
    <mergeCell ref="G2:I2"/>
    <mergeCell ref="J2:J3"/>
    <mergeCell ref="B2:B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1"/>
  <sheetViews>
    <sheetView workbookViewId="0">
      <selection activeCell="G39" sqref="G39"/>
    </sheetView>
  </sheetViews>
  <sheetFormatPr defaultRowHeight="15" x14ac:dyDescent="0.25"/>
  <cols>
    <col min="1" max="1" width="5.7109375" style="339" customWidth="1"/>
    <col min="2" max="2" width="39.5703125" style="339" customWidth="1"/>
    <col min="3" max="3" width="16" style="329" customWidth="1"/>
    <col min="4" max="4" width="14.85546875" style="329" customWidth="1"/>
    <col min="5" max="5" width="16.85546875" style="329" bestFit="1" customWidth="1"/>
    <col min="6" max="7" width="14.85546875" style="329" customWidth="1"/>
    <col min="8" max="8" width="15" style="329" customWidth="1"/>
    <col min="9" max="9" width="14.85546875" style="329" customWidth="1"/>
    <col min="10" max="10" width="15.140625" style="329" customWidth="1"/>
    <col min="11" max="14" width="11" style="329" customWidth="1"/>
    <col min="15" max="16" width="9.140625" style="329"/>
    <col min="17" max="20" width="29.140625" style="338" customWidth="1"/>
    <col min="21" max="22" width="9.140625" style="338"/>
    <col min="23" max="16384" width="9.140625" style="329"/>
  </cols>
  <sheetData>
    <row r="1" spans="1:20" ht="15.75" thickBot="1" x14ac:dyDescent="0.3">
      <c r="A1" s="220"/>
      <c r="B1" s="328" t="s">
        <v>265</v>
      </c>
    </row>
    <row r="2" spans="1:20" ht="15.75" customHeight="1" x14ac:dyDescent="0.25">
      <c r="A2" s="220"/>
      <c r="B2" s="853" t="s">
        <v>330</v>
      </c>
      <c r="C2" s="855" t="s">
        <v>10</v>
      </c>
      <c r="D2" s="857" t="s">
        <v>1</v>
      </c>
      <c r="E2" s="858"/>
      <c r="F2" s="859"/>
      <c r="G2" s="857" t="s">
        <v>99</v>
      </c>
      <c r="H2" s="858"/>
      <c r="I2" s="859"/>
      <c r="J2" s="861" t="s">
        <v>112</v>
      </c>
    </row>
    <row r="3" spans="1:20" ht="15.75" thickBot="1" x14ac:dyDescent="0.3">
      <c r="A3" s="220"/>
      <c r="B3" s="923"/>
      <c r="C3" s="924"/>
      <c r="D3" s="628" t="s">
        <v>86</v>
      </c>
      <c r="E3" s="310" t="s">
        <v>87</v>
      </c>
      <c r="F3" s="629" t="s">
        <v>112</v>
      </c>
      <c r="G3" s="628" t="s">
        <v>86</v>
      </c>
      <c r="H3" s="310" t="s">
        <v>87</v>
      </c>
      <c r="I3" s="629" t="s">
        <v>112</v>
      </c>
      <c r="J3" s="925"/>
    </row>
    <row r="4" spans="1:20" ht="30" x14ac:dyDescent="0.25">
      <c r="A4" s="220"/>
      <c r="B4" s="631" t="s">
        <v>327</v>
      </c>
      <c r="C4" s="632">
        <f>C83</f>
        <v>-623317200</v>
      </c>
      <c r="D4" s="632">
        <f>D83</f>
        <v>0</v>
      </c>
      <c r="E4" s="633">
        <f t="shared" ref="E4:J4" si="0">E83</f>
        <v>48784688.71972318</v>
      </c>
      <c r="F4" s="633">
        <f t="shared" si="0"/>
        <v>55753929.965397917</v>
      </c>
      <c r="G4" s="632">
        <f t="shared" si="0"/>
        <v>-409235576.28247833</v>
      </c>
      <c r="H4" s="633">
        <f t="shared" si="0"/>
        <v>1150339785.9369338</v>
      </c>
      <c r="I4" s="634">
        <f t="shared" si="0"/>
        <v>-42635543.400055498</v>
      </c>
      <c r="J4" s="635">
        <f t="shared" si="0"/>
        <v>-7443871.6580239162</v>
      </c>
      <c r="Q4" s="471"/>
    </row>
    <row r="5" spans="1:20" ht="30" x14ac:dyDescent="0.25">
      <c r="B5" s="84" t="s">
        <v>328</v>
      </c>
      <c r="C5" s="624">
        <f t="shared" ref="C5:C6" si="1">C84</f>
        <v>-34350.115727984128</v>
      </c>
      <c r="D5" s="624">
        <f t="shared" ref="D5:J5" si="2">D84</f>
        <v>0</v>
      </c>
      <c r="E5" s="630">
        <f t="shared" si="2"/>
        <v>32523.125813148788</v>
      </c>
      <c r="F5" s="630">
        <f t="shared" si="2"/>
        <v>37169.286643598614</v>
      </c>
      <c r="G5" s="624">
        <f t="shared" si="2"/>
        <v>-272823.71752165223</v>
      </c>
      <c r="H5" s="630">
        <f t="shared" si="2"/>
        <v>766893.19062462251</v>
      </c>
      <c r="I5" s="626">
        <f t="shared" si="2"/>
        <v>-28423.695600036997</v>
      </c>
      <c r="J5" s="636">
        <f t="shared" si="2"/>
        <v>-4962.5811053492771</v>
      </c>
      <c r="Q5" s="330"/>
      <c r="R5" s="310"/>
      <c r="S5" s="310"/>
      <c r="T5" s="153"/>
    </row>
    <row r="6" spans="1:20" ht="30.75" thickBot="1" x14ac:dyDescent="0.3">
      <c r="B6" s="85" t="s">
        <v>329</v>
      </c>
      <c r="C6" s="625">
        <f t="shared" si="1"/>
        <v>-94.109906104066098</v>
      </c>
      <c r="D6" s="625">
        <f t="shared" ref="D6:J6" si="3">D85</f>
        <v>0</v>
      </c>
      <c r="E6" s="637">
        <f t="shared" si="3"/>
        <v>89.10445428259942</v>
      </c>
      <c r="F6" s="637">
        <f t="shared" si="3"/>
        <v>101.83366203725647</v>
      </c>
      <c r="G6" s="625">
        <f t="shared" si="3"/>
        <v>-747.46223978534863</v>
      </c>
      <c r="H6" s="637">
        <f t="shared" si="3"/>
        <v>2101.0772345880068</v>
      </c>
      <c r="I6" s="627">
        <f t="shared" si="3"/>
        <v>-77.873138630238344</v>
      </c>
      <c r="J6" s="638">
        <f t="shared" si="3"/>
        <v>-13.59611261739528</v>
      </c>
      <c r="Q6" s="220"/>
      <c r="R6" s="336"/>
      <c r="S6" s="336"/>
      <c r="T6" s="336"/>
    </row>
    <row r="7" spans="1:20" x14ac:dyDescent="0.25">
      <c r="B7" s="220"/>
      <c r="C7" s="299"/>
      <c r="D7" s="193"/>
      <c r="E7" s="193"/>
      <c r="G7" s="193"/>
      <c r="H7" s="193"/>
      <c r="I7" s="193"/>
      <c r="J7" s="193"/>
    </row>
    <row r="8" spans="1:20" ht="15.75" thickBot="1" x14ac:dyDescent="0.3">
      <c r="B8" s="330" t="s">
        <v>118</v>
      </c>
      <c r="C8" s="299"/>
      <c r="D8" s="193"/>
      <c r="E8" s="193"/>
      <c r="G8" s="193"/>
      <c r="H8" s="193"/>
      <c r="I8" s="193"/>
      <c r="J8" s="193"/>
    </row>
    <row r="9" spans="1:20" x14ac:dyDescent="0.25">
      <c r="B9" s="853" t="s">
        <v>330</v>
      </c>
      <c r="C9" s="855" t="s">
        <v>10</v>
      </c>
      <c r="D9" s="857" t="s">
        <v>1</v>
      </c>
      <c r="E9" s="858"/>
      <c r="F9" s="859"/>
      <c r="G9" s="857" t="s">
        <v>99</v>
      </c>
      <c r="H9" s="858"/>
      <c r="I9" s="859"/>
      <c r="J9" s="861" t="s">
        <v>112</v>
      </c>
    </row>
    <row r="10" spans="1:20" ht="15.75" thickBot="1" x14ac:dyDescent="0.3">
      <c r="B10" s="854"/>
      <c r="C10" s="856"/>
      <c r="D10" s="288" t="s">
        <v>86</v>
      </c>
      <c r="E10" s="289" t="s">
        <v>87</v>
      </c>
      <c r="F10" s="290" t="s">
        <v>112</v>
      </c>
      <c r="G10" s="288" t="s">
        <v>86</v>
      </c>
      <c r="H10" s="289" t="s">
        <v>87</v>
      </c>
      <c r="I10" s="290" t="s">
        <v>112</v>
      </c>
      <c r="J10" s="862"/>
    </row>
    <row r="11" spans="1:20" ht="30" x14ac:dyDescent="0.25">
      <c r="B11" s="109" t="s">
        <v>327</v>
      </c>
      <c r="C11" s="292"/>
      <c r="D11" s="189"/>
      <c r="E11" s="190"/>
      <c r="F11" s="191"/>
      <c r="G11" s="189"/>
      <c r="H11" s="190"/>
      <c r="I11" s="191"/>
      <c r="J11" s="192"/>
    </row>
    <row r="12" spans="1:20" ht="30" x14ac:dyDescent="0.25">
      <c r="B12" s="109" t="s">
        <v>328</v>
      </c>
      <c r="C12" s="292"/>
      <c r="D12" s="189"/>
      <c r="E12" s="190"/>
      <c r="F12" s="191"/>
      <c r="G12" s="189"/>
      <c r="H12" s="190"/>
      <c r="I12" s="191"/>
      <c r="J12" s="192"/>
    </row>
    <row r="13" spans="1:20" ht="30.75" thickBot="1" x14ac:dyDescent="0.3">
      <c r="B13" s="243" t="s">
        <v>329</v>
      </c>
      <c r="C13" s="381"/>
      <c r="D13" s="382"/>
      <c r="E13" s="383"/>
      <c r="F13" s="384"/>
      <c r="G13" s="382"/>
      <c r="H13" s="383"/>
      <c r="I13" s="384"/>
      <c r="J13" s="195"/>
    </row>
    <row r="14" spans="1:20" x14ac:dyDescent="0.25">
      <c r="B14" s="220"/>
      <c r="C14" s="299"/>
      <c r="D14" s="193"/>
      <c r="E14" s="193"/>
      <c r="F14" s="193"/>
      <c r="G14" s="193"/>
      <c r="H14" s="193"/>
      <c r="I14" s="193"/>
    </row>
    <row r="15" spans="1:20" x14ac:dyDescent="0.25">
      <c r="B15" s="76" t="s">
        <v>56</v>
      </c>
      <c r="C15" s="88"/>
    </row>
    <row r="16" spans="1:20" x14ac:dyDescent="0.25">
      <c r="B16" s="87" t="s">
        <v>11</v>
      </c>
      <c r="C16" s="375">
        <f>'1. Paraméterek - Eredmények'!C33</f>
        <v>1500</v>
      </c>
    </row>
    <row r="17" spans="1:5" x14ac:dyDescent="0.25">
      <c r="B17" s="335"/>
      <c r="C17" s="287"/>
    </row>
    <row r="18" spans="1:5" x14ac:dyDescent="0.25">
      <c r="B18" s="504" t="s">
        <v>228</v>
      </c>
      <c r="C18" s="97"/>
      <c r="D18" s="97"/>
      <c r="E18" s="97"/>
    </row>
    <row r="19" spans="1:5" x14ac:dyDescent="0.25">
      <c r="B19" s="504" t="s">
        <v>37</v>
      </c>
      <c r="C19" s="293"/>
      <c r="D19" s="458"/>
      <c r="E19" s="458"/>
    </row>
    <row r="20" spans="1:5" ht="45" x14ac:dyDescent="0.25">
      <c r="B20" s="508" t="s">
        <v>369</v>
      </c>
      <c r="C20" s="806">
        <f>-1*N60</f>
        <v>-389748.16788807459</v>
      </c>
      <c r="D20" s="458"/>
      <c r="E20" s="97"/>
    </row>
    <row r="21" spans="1:5" ht="30" x14ac:dyDescent="0.25">
      <c r="B21" s="508" t="s">
        <v>416</v>
      </c>
      <c r="C21" s="806">
        <v>31000</v>
      </c>
      <c r="D21" s="458"/>
      <c r="E21" s="97"/>
    </row>
    <row r="22" spans="1:5" ht="30" x14ac:dyDescent="0.25">
      <c r="B22" s="508" t="s">
        <v>417</v>
      </c>
      <c r="C22" s="806">
        <v>360</v>
      </c>
      <c r="D22" s="458"/>
      <c r="E22" s="97"/>
    </row>
    <row r="23" spans="1:5" x14ac:dyDescent="0.25">
      <c r="B23" s="618" t="s">
        <v>415</v>
      </c>
      <c r="C23" s="619"/>
      <c r="D23" s="458"/>
      <c r="E23" s="97"/>
    </row>
    <row r="24" spans="1:5" ht="45" x14ac:dyDescent="0.25">
      <c r="B24" s="508" t="str">
        <f>'1. Paraméterek - Eredmények'!B44</f>
        <v>Foglalkoztatott fogvatartott száma jelenleg / arány a jogerősen elítélt fogvatartottakhoz képest</v>
      </c>
      <c r="C24" s="806">
        <f>'1. Paraméterek - Eredmények'!C44</f>
        <v>7240</v>
      </c>
      <c r="D24" s="807">
        <f>'1. Paraméterek - Eredmények'!D44</f>
        <v>0.59647388367111553</v>
      </c>
      <c r="E24" s="97"/>
    </row>
    <row r="25" spans="1:5" ht="45" x14ac:dyDescent="0.25">
      <c r="B25" s="620" t="str">
        <f>'1. Paraméterek - Eredmények'!B45</f>
        <v>ebből költségvetési munkát végez / arány az összes foglalkoztatott fogvatartotthoz képest</v>
      </c>
      <c r="C25" s="806">
        <f>'1. Paraméterek - Eredmények'!C45</f>
        <v>3488</v>
      </c>
      <c r="D25" s="807">
        <f>'1. Paraméterek - Eredmények'!D45</f>
        <v>0.48176795580110499</v>
      </c>
      <c r="E25" s="97"/>
    </row>
    <row r="26" spans="1:5" ht="45" x14ac:dyDescent="0.25">
      <c r="B26" s="620" t="str">
        <f>'1. Paraméterek - Eredmények'!B46</f>
        <v>ebből gazdasági társaságnál dolgozik / arány az összes foglalkoztatott fogvatartotthoz képest</v>
      </c>
      <c r="C26" s="806">
        <f>'1. Paraméterek - Eredmények'!C46</f>
        <v>3752</v>
      </c>
      <c r="D26" s="807">
        <f>'1. Paraméterek - Eredmények'!D46</f>
        <v>0.51823204419889501</v>
      </c>
      <c r="E26" s="97"/>
    </row>
    <row r="27" spans="1:5" ht="30" x14ac:dyDescent="0.25">
      <c r="B27" s="508" t="str">
        <f>'1. Paraméterek - Eredmények'!B47</f>
        <v>Oktatásban vagy képzésben részt vevő fogvatartottak becsült száma (interjúkból)</v>
      </c>
      <c r="C27" s="806">
        <f>'1. Paraméterek - Eredmények'!C47</f>
        <v>0</v>
      </c>
      <c r="D27" s="807">
        <f>'1. Paraméterek - Eredmények'!D47</f>
        <v>0.1</v>
      </c>
      <c r="E27" s="97"/>
    </row>
    <row r="28" spans="1:5" s="338" customFormat="1" x14ac:dyDescent="0.25">
      <c r="A28" s="471"/>
      <c r="B28" s="337"/>
      <c r="C28" s="337"/>
      <c r="D28" s="337"/>
      <c r="E28" s="287"/>
    </row>
    <row r="29" spans="1:5" x14ac:dyDescent="0.25">
      <c r="B29" s="504" t="s">
        <v>38</v>
      </c>
      <c r="C29" s="310" t="s">
        <v>54</v>
      </c>
      <c r="D29" s="622" t="s">
        <v>362</v>
      </c>
      <c r="E29" s="622" t="s">
        <v>112</v>
      </c>
    </row>
    <row r="30" spans="1:5" ht="15.75" thickBot="1" x14ac:dyDescent="0.3">
      <c r="B30" s="502" t="s">
        <v>279</v>
      </c>
      <c r="C30" s="503"/>
      <c r="D30" s="507"/>
      <c r="E30" s="507"/>
    </row>
    <row r="31" spans="1:5" ht="15.75" thickBot="1" x14ac:dyDescent="0.3">
      <c r="B31" s="505" t="s">
        <v>361</v>
      </c>
      <c r="C31" s="506">
        <f>C64</f>
        <v>988919</v>
      </c>
      <c r="D31" s="506">
        <f>D64</f>
        <v>1603781</v>
      </c>
      <c r="E31" s="681">
        <f>AVERAGE(C31:D31)</f>
        <v>1296350</v>
      </c>
    </row>
    <row r="32" spans="1:5" x14ac:dyDescent="0.25">
      <c r="B32" s="335"/>
      <c r="C32" s="287"/>
    </row>
    <row r="33" spans="2:14" x14ac:dyDescent="0.25">
      <c r="B33" s="76" t="s">
        <v>227</v>
      </c>
      <c r="C33" s="77" t="s">
        <v>1</v>
      </c>
      <c r="D33" s="77" t="s">
        <v>99</v>
      </c>
      <c r="E33" s="78" t="s">
        <v>60</v>
      </c>
    </row>
    <row r="34" spans="2:14" ht="45" customHeight="1" x14ac:dyDescent="0.25">
      <c r="B34" s="318" t="str">
        <f>'1. Paraméterek - Eredmények'!B62</f>
        <v>Foglalkoztatási arány az új jogerősen elítélt fogvatartottak körében (Oktatásban vesz részt, vagy gazdasági társaságnál dolgozik)</v>
      </c>
      <c r="C34" s="319">
        <f>'1. Paraméterek - Eredmények'!C62</f>
        <v>0</v>
      </c>
      <c r="D34" s="320">
        <f>'1. Paraméterek - Eredmények'!D62</f>
        <v>1</v>
      </c>
      <c r="E34" s="714">
        <f>'1. Paraméterek - Eredmények'!E62</f>
        <v>0.7</v>
      </c>
      <c r="F34" s="921" t="s">
        <v>423</v>
      </c>
      <c r="G34" s="921"/>
      <c r="H34" s="921"/>
    </row>
    <row r="35" spans="2:14" ht="45.75" thickBot="1" x14ac:dyDescent="0.3">
      <c r="B35" s="623" t="s">
        <v>419</v>
      </c>
      <c r="C35" s="310" t="s">
        <v>54</v>
      </c>
      <c r="D35" s="622" t="s">
        <v>362</v>
      </c>
      <c r="E35" s="839" t="s">
        <v>437</v>
      </c>
      <c r="F35" s="922"/>
      <c r="G35" s="921"/>
      <c r="H35" s="921"/>
    </row>
    <row r="36" spans="2:14" ht="60" customHeight="1" x14ac:dyDescent="0.25">
      <c r="B36" s="318" t="s">
        <v>421</v>
      </c>
      <c r="C36" s="319">
        <v>1</v>
      </c>
      <c r="D36" s="320">
        <v>0</v>
      </c>
      <c r="E36" s="665">
        <v>0.8</v>
      </c>
      <c r="F36" s="921"/>
      <c r="G36" s="921"/>
      <c r="H36" s="921"/>
    </row>
    <row r="37" spans="2:14" ht="60.75" thickBot="1" x14ac:dyDescent="0.3">
      <c r="B37" s="90" t="s">
        <v>422</v>
      </c>
      <c r="C37" s="324">
        <v>0</v>
      </c>
      <c r="D37" s="325">
        <v>1</v>
      </c>
      <c r="E37" s="661">
        <v>0.2</v>
      </c>
      <c r="F37" s="921"/>
      <c r="G37" s="921"/>
      <c r="H37" s="921"/>
    </row>
    <row r="38" spans="2:14" x14ac:dyDescent="0.25">
      <c r="B38" s="220"/>
      <c r="C38" s="336"/>
      <c r="D38" s="336"/>
      <c r="E38" s="336"/>
      <c r="F38" s="338"/>
      <c r="G38" s="338"/>
      <c r="H38" s="287"/>
      <c r="I38" s="287"/>
      <c r="J38" s="287"/>
    </row>
    <row r="39" spans="2:14" ht="30" x14ac:dyDescent="0.25">
      <c r="B39" s="76" t="s">
        <v>268</v>
      </c>
      <c r="C39" s="326" t="s">
        <v>10</v>
      </c>
      <c r="D39" s="326" t="s">
        <v>269</v>
      </c>
      <c r="E39" s="327" t="s">
        <v>270</v>
      </c>
      <c r="F39" s="338"/>
      <c r="G39" s="338"/>
      <c r="H39" s="287"/>
      <c r="I39" s="287"/>
      <c r="J39" s="287"/>
    </row>
    <row r="40" spans="2:14" x14ac:dyDescent="0.25">
      <c r="B40" s="476" t="s">
        <v>267</v>
      </c>
      <c r="C40" s="477">
        <v>0.3</v>
      </c>
      <c r="D40" s="477">
        <v>0</v>
      </c>
      <c r="E40" s="478">
        <v>1</v>
      </c>
      <c r="F40" s="338"/>
      <c r="G40" s="338"/>
      <c r="H40" s="287"/>
      <c r="I40" s="287"/>
      <c r="J40" s="287"/>
    </row>
    <row r="41" spans="2:14" x14ac:dyDescent="0.25">
      <c r="B41" s="220"/>
      <c r="C41" s="486"/>
      <c r="D41" s="486"/>
      <c r="E41" s="486"/>
      <c r="F41" s="338"/>
      <c r="G41" s="338"/>
      <c r="H41" s="287"/>
      <c r="I41" s="287"/>
      <c r="J41" s="287"/>
    </row>
    <row r="42" spans="2:14" x14ac:dyDescent="0.25">
      <c r="B42" s="497" t="s">
        <v>350</v>
      </c>
      <c r="C42" s="486"/>
      <c r="D42" s="486"/>
      <c r="E42" s="486"/>
      <c r="F42" s="338"/>
      <c r="G42" s="338"/>
      <c r="H42" s="287"/>
      <c r="I42" s="287"/>
      <c r="J42" s="287"/>
    </row>
    <row r="43" spans="2:14" x14ac:dyDescent="0.25">
      <c r="B43" s="927" t="s">
        <v>331</v>
      </c>
      <c r="C43" s="928" t="s">
        <v>332</v>
      </c>
      <c r="D43" s="929"/>
      <c r="E43" s="929"/>
      <c r="F43" s="929"/>
      <c r="G43" s="930" t="s">
        <v>333</v>
      </c>
      <c r="H43" s="930"/>
      <c r="I43" s="930"/>
      <c r="J43" s="930"/>
      <c r="K43" s="926" t="s">
        <v>334</v>
      </c>
      <c r="L43" s="926"/>
      <c r="M43" s="926"/>
      <c r="N43" s="926"/>
    </row>
    <row r="44" spans="2:14" x14ac:dyDescent="0.25">
      <c r="B44" s="927"/>
      <c r="C44" s="487">
        <v>2010</v>
      </c>
      <c r="D44" s="487">
        <v>2011</v>
      </c>
      <c r="E44" s="487">
        <v>2012</v>
      </c>
      <c r="F44" s="487">
        <v>2013</v>
      </c>
      <c r="G44" s="487">
        <v>2010</v>
      </c>
      <c r="H44" s="487">
        <v>2011</v>
      </c>
      <c r="I44" s="487">
        <v>2012</v>
      </c>
      <c r="J44" s="487">
        <v>2013</v>
      </c>
      <c r="K44" s="487">
        <v>2010</v>
      </c>
      <c r="L44" s="487">
        <v>2011</v>
      </c>
      <c r="M44" s="487">
        <v>2012</v>
      </c>
      <c r="N44" s="487">
        <v>2013</v>
      </c>
    </row>
    <row r="45" spans="2:14" x14ac:dyDescent="0.25">
      <c r="B45" s="488" t="s">
        <v>335</v>
      </c>
      <c r="C45" s="493">
        <v>-15576000</v>
      </c>
      <c r="D45" s="493">
        <v>21707000</v>
      </c>
      <c r="E45" s="493">
        <v>101400000</v>
      </c>
      <c r="F45" s="493">
        <v>189987000</v>
      </c>
      <c r="G45" s="493">
        <v>153.4</v>
      </c>
      <c r="H45" s="493">
        <v>213.2</v>
      </c>
      <c r="I45" s="493">
        <v>211</v>
      </c>
      <c r="J45" s="493">
        <v>245.70000000000002</v>
      </c>
      <c r="K45" s="493">
        <f t="shared" ref="K45:N47" si="4">C45/G45</f>
        <v>-101538.46153846153</v>
      </c>
      <c r="L45" s="493">
        <f t="shared" si="4"/>
        <v>101815.19699812384</v>
      </c>
      <c r="M45" s="493">
        <f t="shared" si="4"/>
        <v>480568.72037914692</v>
      </c>
      <c r="N45" s="493">
        <f t="shared" si="4"/>
        <v>773247.86324786325</v>
      </c>
    </row>
    <row r="46" spans="2:14" x14ac:dyDescent="0.25">
      <c r="B46" s="488" t="s">
        <v>336</v>
      </c>
      <c r="C46" s="493">
        <v>19271000</v>
      </c>
      <c r="D46" s="493">
        <v>-20457000</v>
      </c>
      <c r="E46" s="493">
        <v>24300000</v>
      </c>
      <c r="F46" s="493">
        <v>79281000</v>
      </c>
      <c r="G46" s="493">
        <v>261</v>
      </c>
      <c r="H46" s="493">
        <v>268.90000000000003</v>
      </c>
      <c r="I46" s="493">
        <v>220</v>
      </c>
      <c r="J46" s="493">
        <v>267.10000000000002</v>
      </c>
      <c r="K46" s="493">
        <f t="shared" si="4"/>
        <v>73835.249042145588</v>
      </c>
      <c r="L46" s="493">
        <f t="shared" si="4"/>
        <v>-76076.608404611368</v>
      </c>
      <c r="M46" s="493">
        <f t="shared" si="4"/>
        <v>110454.54545454546</v>
      </c>
      <c r="N46" s="493">
        <f t="shared" si="4"/>
        <v>296821.41520029947</v>
      </c>
    </row>
    <row r="47" spans="2:14" x14ac:dyDescent="0.25">
      <c r="B47" s="488" t="s">
        <v>337</v>
      </c>
      <c r="C47" s="493">
        <v>-65697000</v>
      </c>
      <c r="D47" s="493">
        <v>9033000</v>
      </c>
      <c r="E47" s="493">
        <v>42300000</v>
      </c>
      <c r="F47" s="493">
        <v>152064000</v>
      </c>
      <c r="G47" s="493">
        <v>160.9</v>
      </c>
      <c r="H47" s="493">
        <v>206.8</v>
      </c>
      <c r="I47" s="493">
        <v>201</v>
      </c>
      <c r="J47" s="493">
        <v>210.8</v>
      </c>
      <c r="K47" s="493">
        <f t="shared" si="4"/>
        <v>-408309.50901180855</v>
      </c>
      <c r="L47" s="493">
        <f t="shared" si="4"/>
        <v>43679.883945841393</v>
      </c>
      <c r="M47" s="493">
        <f t="shared" si="4"/>
        <v>210447.76119402985</v>
      </c>
      <c r="N47" s="493">
        <f t="shared" si="4"/>
        <v>721366.22390891833</v>
      </c>
    </row>
    <row r="48" spans="2:14" x14ac:dyDescent="0.25">
      <c r="B48" s="488" t="s">
        <v>338</v>
      </c>
      <c r="C48" s="69">
        <v>0</v>
      </c>
      <c r="D48" s="69">
        <v>0</v>
      </c>
      <c r="E48" s="69">
        <v>0</v>
      </c>
      <c r="F48" s="69">
        <v>103042000</v>
      </c>
      <c r="G48" s="69"/>
      <c r="H48" s="69"/>
      <c r="I48" s="69"/>
      <c r="J48" s="69"/>
      <c r="K48" s="69"/>
      <c r="L48" s="69"/>
      <c r="M48" s="69"/>
      <c r="N48" s="69"/>
    </row>
    <row r="49" spans="1:22" x14ac:dyDescent="0.25">
      <c r="B49" s="488" t="s">
        <v>339</v>
      </c>
      <c r="C49" s="493">
        <v>-62808000</v>
      </c>
      <c r="D49" s="493">
        <v>198109000</v>
      </c>
      <c r="E49" s="493">
        <v>77100000</v>
      </c>
      <c r="F49" s="493">
        <v>19666000</v>
      </c>
      <c r="G49" s="493">
        <v>195.6</v>
      </c>
      <c r="H49" s="493">
        <v>221.8</v>
      </c>
      <c r="I49" s="493">
        <v>238</v>
      </c>
      <c r="J49" s="493">
        <v>246.6</v>
      </c>
      <c r="K49" s="493">
        <f t="shared" ref="K49:K60" si="5">C49/G49</f>
        <v>-321104.29447852762</v>
      </c>
      <c r="L49" s="493">
        <f t="shared" ref="L49:L60" si="6">D49/H49</f>
        <v>893187.55635707837</v>
      </c>
      <c r="M49" s="493">
        <f t="shared" ref="M49:M60" si="7">E49/I49</f>
        <v>323949.57983193279</v>
      </c>
      <c r="N49" s="493">
        <f t="shared" ref="N49:N60" si="8">F49/J49</f>
        <v>79748.580697485813</v>
      </c>
    </row>
    <row r="50" spans="1:22" x14ac:dyDescent="0.25">
      <c r="B50" s="488" t="s">
        <v>340</v>
      </c>
      <c r="C50" s="493">
        <v>52896000</v>
      </c>
      <c r="D50" s="493">
        <v>7096000</v>
      </c>
      <c r="E50" s="493">
        <v>12600000</v>
      </c>
      <c r="F50" s="493">
        <v>117890000</v>
      </c>
      <c r="G50" s="493">
        <v>161</v>
      </c>
      <c r="H50" s="493">
        <v>146</v>
      </c>
      <c r="I50" s="493">
        <v>163</v>
      </c>
      <c r="J50" s="493">
        <v>181</v>
      </c>
      <c r="K50" s="493">
        <f t="shared" si="5"/>
        <v>328546.58385093167</v>
      </c>
      <c r="L50" s="493">
        <f t="shared" si="6"/>
        <v>48602.739726027394</v>
      </c>
      <c r="M50" s="493">
        <f t="shared" si="7"/>
        <v>77300.613496932521</v>
      </c>
      <c r="N50" s="493">
        <f t="shared" si="8"/>
        <v>651325.96685082873</v>
      </c>
    </row>
    <row r="51" spans="1:22" x14ac:dyDescent="0.25">
      <c r="B51" s="488" t="s">
        <v>341</v>
      </c>
      <c r="C51" s="493">
        <v>65610000</v>
      </c>
      <c r="D51" s="493">
        <v>12559000</v>
      </c>
      <c r="E51" s="493">
        <v>10600000</v>
      </c>
      <c r="F51" s="493">
        <v>21810000</v>
      </c>
      <c r="G51" s="493">
        <v>148.19999999999999</v>
      </c>
      <c r="H51" s="493">
        <v>179</v>
      </c>
      <c r="I51" s="493">
        <v>179</v>
      </c>
      <c r="J51" s="493">
        <v>202.2</v>
      </c>
      <c r="K51" s="493">
        <f t="shared" si="5"/>
        <v>442712.5506072875</v>
      </c>
      <c r="L51" s="493">
        <f t="shared" si="6"/>
        <v>70162.011173184364</v>
      </c>
      <c r="M51" s="493">
        <f t="shared" si="7"/>
        <v>59217.877094972064</v>
      </c>
      <c r="N51" s="493">
        <f t="shared" si="8"/>
        <v>107863.50148367953</v>
      </c>
    </row>
    <row r="52" spans="1:22" x14ac:dyDescent="0.25">
      <c r="B52" s="488" t="s">
        <v>342</v>
      </c>
      <c r="C52" s="493">
        <v>53821000</v>
      </c>
      <c r="D52" s="493">
        <v>3063000</v>
      </c>
      <c r="E52" s="493">
        <v>33000000</v>
      </c>
      <c r="F52" s="493">
        <v>7010000</v>
      </c>
      <c r="G52" s="493">
        <v>291.10000000000002</v>
      </c>
      <c r="H52" s="493">
        <v>230.6</v>
      </c>
      <c r="I52" s="493">
        <v>236</v>
      </c>
      <c r="J52" s="493">
        <v>268.10000000000002</v>
      </c>
      <c r="K52" s="493">
        <f t="shared" si="5"/>
        <v>184888.35451734797</v>
      </c>
      <c r="L52" s="493">
        <f t="shared" si="6"/>
        <v>13282.740676496098</v>
      </c>
      <c r="M52" s="493">
        <f t="shared" si="7"/>
        <v>139830.50847457626</v>
      </c>
      <c r="N52" s="493">
        <f t="shared" si="8"/>
        <v>26146.960089518834</v>
      </c>
    </row>
    <row r="53" spans="1:22" x14ac:dyDescent="0.25">
      <c r="B53" s="488" t="s">
        <v>343</v>
      </c>
      <c r="C53" s="493">
        <v>1629000</v>
      </c>
      <c r="D53" s="493">
        <v>30465000</v>
      </c>
      <c r="E53" s="493">
        <v>17200000</v>
      </c>
      <c r="F53" s="493">
        <v>26336000</v>
      </c>
      <c r="G53" s="493">
        <v>148.20000000000002</v>
      </c>
      <c r="H53" s="493">
        <v>164.79999999999998</v>
      </c>
      <c r="I53" s="493">
        <v>205</v>
      </c>
      <c r="J53" s="493">
        <v>224.1</v>
      </c>
      <c r="K53" s="493">
        <f t="shared" si="5"/>
        <v>10991.902834008097</v>
      </c>
      <c r="L53" s="493">
        <f t="shared" si="6"/>
        <v>184860.43689320391</v>
      </c>
      <c r="M53" s="493">
        <f t="shared" si="7"/>
        <v>83902.439024390245</v>
      </c>
      <c r="N53" s="493">
        <f t="shared" si="8"/>
        <v>117518.96474788041</v>
      </c>
    </row>
    <row r="54" spans="1:22" x14ac:dyDescent="0.25">
      <c r="B54" s="489" t="s">
        <v>344</v>
      </c>
      <c r="C54" s="491">
        <f t="shared" ref="C54:E54" si="9">SUM(C45:C53)</f>
        <v>49146000</v>
      </c>
      <c r="D54" s="491">
        <f t="shared" si="9"/>
        <v>261575000</v>
      </c>
      <c r="E54" s="491">
        <f t="shared" si="9"/>
        <v>318500000</v>
      </c>
      <c r="F54" s="491">
        <f>SUM(F45:F53)</f>
        <v>717086000</v>
      </c>
      <c r="G54" s="491">
        <v>1519.3999999999999</v>
      </c>
      <c r="H54" s="491">
        <f>SUM(H45:H53)</f>
        <v>1631.1</v>
      </c>
      <c r="I54" s="491">
        <v>1653</v>
      </c>
      <c r="J54" s="491">
        <v>1845.6000000000001</v>
      </c>
      <c r="K54" s="491">
        <f t="shared" si="5"/>
        <v>32345.66276161643</v>
      </c>
      <c r="L54" s="491">
        <f t="shared" si="6"/>
        <v>160367.2368340384</v>
      </c>
      <c r="M54" s="491">
        <f t="shared" si="7"/>
        <v>192679.9758015729</v>
      </c>
      <c r="N54" s="491">
        <f t="shared" si="8"/>
        <v>388538.14477676636</v>
      </c>
    </row>
    <row r="55" spans="1:22" s="97" customFormat="1" x14ac:dyDescent="0.25">
      <c r="A55" s="335"/>
      <c r="B55" s="488" t="s">
        <v>345</v>
      </c>
      <c r="C55" s="493">
        <v>234086000</v>
      </c>
      <c r="D55" s="493">
        <v>606759000</v>
      </c>
      <c r="E55" s="493">
        <v>520600000</v>
      </c>
      <c r="F55" s="493">
        <v>341586000</v>
      </c>
      <c r="G55" s="493">
        <v>437.2</v>
      </c>
      <c r="H55" s="493">
        <v>587.1</v>
      </c>
      <c r="I55" s="493">
        <v>576</v>
      </c>
      <c r="J55" s="493">
        <v>535.79999999999995</v>
      </c>
      <c r="K55" s="493">
        <f t="shared" si="5"/>
        <v>535420.86001829826</v>
      </c>
      <c r="L55" s="493">
        <f t="shared" si="6"/>
        <v>1033484.9259070004</v>
      </c>
      <c r="M55" s="493">
        <f t="shared" si="7"/>
        <v>903819.4444444445</v>
      </c>
      <c r="N55" s="493">
        <f t="shared" si="8"/>
        <v>637525.19596864504</v>
      </c>
      <c r="Q55" s="287"/>
      <c r="R55" s="287"/>
      <c r="S55" s="287"/>
      <c r="T55" s="287"/>
      <c r="U55" s="287"/>
      <c r="V55" s="287"/>
    </row>
    <row r="56" spans="1:22" s="97" customFormat="1" x14ac:dyDescent="0.25">
      <c r="A56" s="335"/>
      <c r="B56" s="488" t="s">
        <v>346</v>
      </c>
      <c r="C56" s="493">
        <v>11685000</v>
      </c>
      <c r="D56" s="493">
        <v>27210000</v>
      </c>
      <c r="E56" s="493">
        <v>12400000</v>
      </c>
      <c r="F56" s="493">
        <v>21622000</v>
      </c>
      <c r="G56" s="493">
        <v>141.30000000000001</v>
      </c>
      <c r="H56" s="493">
        <v>156.30000000000001</v>
      </c>
      <c r="I56" s="493">
        <v>171</v>
      </c>
      <c r="J56" s="493">
        <v>205.79999999999998</v>
      </c>
      <c r="K56" s="493">
        <f t="shared" si="5"/>
        <v>82696.390658174088</v>
      </c>
      <c r="L56" s="493">
        <f t="shared" si="6"/>
        <v>174088.29174664107</v>
      </c>
      <c r="M56" s="493">
        <f t="shared" si="7"/>
        <v>72514.619883040941</v>
      </c>
      <c r="N56" s="493">
        <f t="shared" si="8"/>
        <v>105063.16812439263</v>
      </c>
      <c r="Q56" s="287"/>
      <c r="R56" s="287"/>
      <c r="S56" s="287"/>
      <c r="T56" s="287"/>
      <c r="U56" s="287"/>
      <c r="V56" s="287"/>
    </row>
    <row r="57" spans="1:22" s="97" customFormat="1" x14ac:dyDescent="0.25">
      <c r="A57" s="335"/>
      <c r="B57" s="488" t="s">
        <v>347</v>
      </c>
      <c r="C57" s="493">
        <v>85812000</v>
      </c>
      <c r="D57" s="493">
        <v>387087000</v>
      </c>
      <c r="E57" s="493">
        <v>589000000</v>
      </c>
      <c r="F57" s="493">
        <v>370431000</v>
      </c>
      <c r="G57" s="493">
        <v>660</v>
      </c>
      <c r="H57" s="493">
        <v>697.7</v>
      </c>
      <c r="I57" s="493">
        <v>820</v>
      </c>
      <c r="J57" s="493">
        <v>820.3</v>
      </c>
      <c r="K57" s="493">
        <f t="shared" si="5"/>
        <v>130018.18181818182</v>
      </c>
      <c r="L57" s="493">
        <f t="shared" si="6"/>
        <v>554804.35717357032</v>
      </c>
      <c r="M57" s="493">
        <f t="shared" si="7"/>
        <v>718292.68292682932</v>
      </c>
      <c r="N57" s="493">
        <f t="shared" si="8"/>
        <v>451579.90978910157</v>
      </c>
      <c r="Q57" s="287"/>
      <c r="R57" s="287"/>
      <c r="S57" s="287"/>
      <c r="T57" s="287"/>
      <c r="U57" s="287"/>
      <c r="V57" s="287"/>
    </row>
    <row r="58" spans="1:22" s="97" customFormat="1" x14ac:dyDescent="0.25">
      <c r="A58" s="335"/>
      <c r="B58" s="488" t="s">
        <v>348</v>
      </c>
      <c r="C58" s="493">
        <v>43165000</v>
      </c>
      <c r="D58" s="493">
        <v>28523000</v>
      </c>
      <c r="E58" s="493">
        <v>10400000</v>
      </c>
      <c r="F58" s="493">
        <v>11805000</v>
      </c>
      <c r="G58" s="493">
        <v>314</v>
      </c>
      <c r="H58" s="493">
        <v>356</v>
      </c>
      <c r="I58" s="493">
        <v>350</v>
      </c>
      <c r="J58" s="493">
        <v>345</v>
      </c>
      <c r="K58" s="493">
        <f t="shared" si="5"/>
        <v>137468.15286624205</v>
      </c>
      <c r="L58" s="493">
        <f t="shared" si="6"/>
        <v>80120.786516853928</v>
      </c>
      <c r="M58" s="493">
        <f t="shared" si="7"/>
        <v>29714.285714285714</v>
      </c>
      <c r="N58" s="493">
        <f t="shared" si="8"/>
        <v>34217.391304347824</v>
      </c>
      <c r="Q58" s="287"/>
      <c r="R58" s="287"/>
      <c r="S58" s="287"/>
      <c r="T58" s="287"/>
      <c r="U58" s="287"/>
      <c r="V58" s="287"/>
    </row>
    <row r="59" spans="1:22" s="97" customFormat="1" x14ac:dyDescent="0.25">
      <c r="A59" s="335"/>
      <c r="B59" s="489" t="s">
        <v>349</v>
      </c>
      <c r="C59" s="491">
        <f t="shared" ref="C59:E59" si="10">SUM(C55:C58)</f>
        <v>374748000</v>
      </c>
      <c r="D59" s="491">
        <f t="shared" si="10"/>
        <v>1049579000</v>
      </c>
      <c r="E59" s="491">
        <f t="shared" si="10"/>
        <v>1132400000</v>
      </c>
      <c r="F59" s="491">
        <f>SUM(F55:F58)</f>
        <v>745444000</v>
      </c>
      <c r="G59" s="491">
        <v>1552.5</v>
      </c>
      <c r="H59" s="491">
        <f>SUM(H55:H58)</f>
        <v>1797.1000000000001</v>
      </c>
      <c r="I59" s="491">
        <v>1917</v>
      </c>
      <c r="J59" s="491">
        <v>1906.8999999999999</v>
      </c>
      <c r="K59" s="491">
        <f t="shared" si="5"/>
        <v>241383.57487922706</v>
      </c>
      <c r="L59" s="491">
        <f t="shared" si="6"/>
        <v>584040.39841967612</v>
      </c>
      <c r="M59" s="491">
        <f t="shared" si="7"/>
        <v>590714.65832029213</v>
      </c>
      <c r="N59" s="491">
        <f t="shared" si="8"/>
        <v>390919.29309350258</v>
      </c>
      <c r="Q59" s="287"/>
      <c r="R59" s="287"/>
      <c r="S59" s="287"/>
      <c r="T59" s="287"/>
      <c r="U59" s="287"/>
      <c r="V59" s="287"/>
    </row>
    <row r="60" spans="1:22" s="97" customFormat="1" x14ac:dyDescent="0.25">
      <c r="A60" s="335"/>
      <c r="B60" s="490" t="s">
        <v>7</v>
      </c>
      <c r="C60" s="492">
        <f t="shared" ref="C60:E60" si="11">C59+C54</f>
        <v>423894000</v>
      </c>
      <c r="D60" s="492">
        <f t="shared" si="11"/>
        <v>1311154000</v>
      </c>
      <c r="E60" s="492">
        <f t="shared" si="11"/>
        <v>1450900000</v>
      </c>
      <c r="F60" s="492">
        <f>F59+F54</f>
        <v>1462530000</v>
      </c>
      <c r="G60" s="492">
        <v>3071.8999999999996</v>
      </c>
      <c r="H60" s="492">
        <f>H54+H59</f>
        <v>3428.2</v>
      </c>
      <c r="I60" s="492">
        <v>3570</v>
      </c>
      <c r="J60" s="492">
        <v>3752.5</v>
      </c>
      <c r="K60" s="492">
        <f t="shared" si="5"/>
        <v>137990.82001367235</v>
      </c>
      <c r="L60" s="492">
        <f t="shared" si="6"/>
        <v>382461.34997958114</v>
      </c>
      <c r="M60" s="492">
        <f t="shared" si="7"/>
        <v>406414.56582633051</v>
      </c>
      <c r="N60" s="496">
        <f t="shared" si="8"/>
        <v>389748.16788807459</v>
      </c>
      <c r="Q60" s="287"/>
      <c r="R60" s="287"/>
      <c r="S60" s="287"/>
      <c r="T60" s="287"/>
      <c r="U60" s="287"/>
      <c r="V60" s="287"/>
    </row>
    <row r="61" spans="1:22" s="97" customFormat="1" x14ac:dyDescent="0.25">
      <c r="A61" s="335"/>
      <c r="B61" s="220"/>
      <c r="C61" s="299"/>
      <c r="D61" s="193"/>
      <c r="E61" s="193"/>
      <c r="F61" s="193"/>
      <c r="G61" s="193"/>
      <c r="H61" s="193"/>
      <c r="I61" s="193"/>
      <c r="J61" s="193"/>
      <c r="Q61" s="287"/>
      <c r="R61" s="287"/>
      <c r="S61" s="287"/>
      <c r="T61" s="287"/>
      <c r="U61" s="287"/>
      <c r="V61" s="287"/>
    </row>
    <row r="62" spans="1:22" s="97" customFormat="1" x14ac:dyDescent="0.25">
      <c r="A62" s="335"/>
      <c r="B62" s="152" t="s">
        <v>351</v>
      </c>
      <c r="C62" s="500" t="s">
        <v>54</v>
      </c>
      <c r="D62" s="501" t="s">
        <v>55</v>
      </c>
      <c r="E62" s="397"/>
      <c r="F62" s="397"/>
      <c r="G62" s="397"/>
      <c r="H62" s="397"/>
      <c r="I62" s="397"/>
      <c r="J62" s="396"/>
      <c r="Q62" s="287"/>
      <c r="R62" s="287"/>
      <c r="S62" s="287"/>
      <c r="T62" s="287"/>
      <c r="U62" s="287"/>
      <c r="V62" s="287"/>
    </row>
    <row r="63" spans="1:22" s="97" customFormat="1" x14ac:dyDescent="0.25">
      <c r="A63" s="335"/>
      <c r="B63" s="97" t="s">
        <v>359</v>
      </c>
      <c r="C63" s="190">
        <v>342061</v>
      </c>
      <c r="D63" s="190">
        <v>547015</v>
      </c>
      <c r="E63" s="398" t="s">
        <v>367</v>
      </c>
      <c r="F63" s="398"/>
      <c r="G63" s="398"/>
      <c r="H63" s="398"/>
      <c r="I63" s="398"/>
      <c r="J63" s="398"/>
      <c r="Q63" s="287"/>
      <c r="R63" s="287"/>
      <c r="S63" s="287"/>
      <c r="T63" s="287"/>
      <c r="U63" s="287"/>
      <c r="V63" s="287"/>
    </row>
    <row r="64" spans="1:22" s="97" customFormat="1" ht="30" x14ac:dyDescent="0.25">
      <c r="A64" s="335"/>
      <c r="B64" s="220" t="s">
        <v>360</v>
      </c>
      <c r="C64" s="190">
        <v>988919</v>
      </c>
      <c r="D64" s="190">
        <v>1603781</v>
      </c>
      <c r="E64" s="398" t="s">
        <v>368</v>
      </c>
      <c r="F64" s="234"/>
      <c r="G64" s="234"/>
      <c r="H64" s="234"/>
      <c r="I64" s="234"/>
      <c r="J64" s="234"/>
      <c r="Q64" s="287"/>
      <c r="R64" s="287"/>
      <c r="S64" s="287"/>
      <c r="T64" s="287"/>
      <c r="U64" s="287"/>
      <c r="V64" s="287"/>
    </row>
    <row r="65" spans="1:22" s="97" customFormat="1" x14ac:dyDescent="0.25">
      <c r="A65" s="335"/>
      <c r="B65" s="152"/>
      <c r="C65" s="399"/>
      <c r="D65" s="234"/>
      <c r="E65" s="234"/>
      <c r="F65" s="234"/>
      <c r="G65" s="234"/>
      <c r="H65" s="234"/>
      <c r="I65" s="234"/>
      <c r="J65" s="234"/>
      <c r="Q65" s="287"/>
      <c r="R65" s="287"/>
      <c r="S65" s="287"/>
      <c r="T65" s="287"/>
      <c r="U65" s="287"/>
      <c r="V65" s="287"/>
    </row>
    <row r="66" spans="1:22" s="97" customFormat="1" x14ac:dyDescent="0.25">
      <c r="A66" s="335"/>
      <c r="B66" s="152"/>
      <c r="C66" s="399"/>
      <c r="D66" s="234"/>
      <c r="E66" s="234"/>
      <c r="F66" s="234"/>
      <c r="G66" s="234"/>
      <c r="H66" s="234"/>
      <c r="I66" s="234"/>
      <c r="J66" s="234"/>
      <c r="Q66" s="287"/>
      <c r="R66" s="287"/>
      <c r="S66" s="287"/>
      <c r="T66" s="287"/>
      <c r="U66" s="287"/>
      <c r="V66" s="287"/>
    </row>
    <row r="67" spans="1:22" s="97" customFormat="1" x14ac:dyDescent="0.25">
      <c r="A67" s="335"/>
      <c r="B67" s="335"/>
      <c r="Q67" s="287"/>
      <c r="R67" s="287"/>
      <c r="S67" s="287"/>
      <c r="T67" s="287"/>
      <c r="U67" s="287"/>
      <c r="V67" s="287"/>
    </row>
    <row r="69" spans="1:22" ht="15.75" thickBot="1" x14ac:dyDescent="0.3"/>
    <row r="70" spans="1:22" x14ac:dyDescent="0.25">
      <c r="B70" s="893" t="s">
        <v>330</v>
      </c>
      <c r="C70" s="855" t="s">
        <v>10</v>
      </c>
      <c r="D70" s="857" t="s">
        <v>1</v>
      </c>
      <c r="E70" s="858"/>
      <c r="F70" s="859"/>
      <c r="G70" s="857" t="s">
        <v>99</v>
      </c>
      <c r="H70" s="858"/>
      <c r="I70" s="859"/>
      <c r="J70" s="861" t="s">
        <v>112</v>
      </c>
    </row>
    <row r="71" spans="1:22" ht="15.75" thickBot="1" x14ac:dyDescent="0.3">
      <c r="B71" s="894"/>
      <c r="C71" s="856"/>
      <c r="D71" s="288" t="s">
        <v>86</v>
      </c>
      <c r="E71" s="289" t="s">
        <v>87</v>
      </c>
      <c r="F71" s="290" t="s">
        <v>112</v>
      </c>
      <c r="G71" s="288" t="s">
        <v>86</v>
      </c>
      <c r="H71" s="289" t="s">
        <v>87</v>
      </c>
      <c r="I71" s="290" t="s">
        <v>112</v>
      </c>
      <c r="J71" s="862"/>
    </row>
    <row r="72" spans="1:22" x14ac:dyDescent="0.25">
      <c r="B72" s="202" t="str">
        <f>'A. Építés'!B49</f>
        <v>Szükséges új börtönök száma</v>
      </c>
      <c r="C72" s="231"/>
      <c r="D72" s="402">
        <f>'A. Építés'!D49</f>
        <v>0</v>
      </c>
      <c r="E72" s="403">
        <f>'A. Építés'!E49</f>
        <v>1</v>
      </c>
      <c r="F72" s="264">
        <f>'A. Építés'!F49</f>
        <v>1</v>
      </c>
      <c r="G72" s="402">
        <f>'A. Építés'!G49</f>
        <v>0</v>
      </c>
      <c r="H72" s="403">
        <f>'A. Építés'!H49</f>
        <v>2</v>
      </c>
      <c r="I72" s="264">
        <f>'A. Építés'!I49</f>
        <v>1</v>
      </c>
      <c r="J72" s="404">
        <f>'A. Építés'!J49</f>
        <v>1</v>
      </c>
    </row>
    <row r="73" spans="1:22" x14ac:dyDescent="0.25">
      <c r="B73" s="202" t="str">
        <f>'A. Építés'!B50</f>
        <v>Fogvatartottak száma az új börtönökben</v>
      </c>
      <c r="C73" s="231"/>
      <c r="D73" s="402">
        <f>'A. Építés'!D50</f>
        <v>0</v>
      </c>
      <c r="E73" s="587">
        <f>'A. Építés'!E50</f>
        <v>1008</v>
      </c>
      <c r="F73" s="588">
        <f>'A. Építés'!F50</f>
        <v>1152</v>
      </c>
      <c r="G73" s="402">
        <f>'A. Építés'!G50</f>
        <v>0</v>
      </c>
      <c r="H73" s="587">
        <f>'A. Építés'!H50</f>
        <v>1400</v>
      </c>
      <c r="I73" s="588">
        <f>'A. Építés'!I50</f>
        <v>800</v>
      </c>
      <c r="J73" s="589">
        <f>'A. Építés'!J50</f>
        <v>976</v>
      </c>
    </row>
    <row r="74" spans="1:22" ht="45" x14ac:dyDescent="0.25">
      <c r="B74" s="105" t="s">
        <v>363</v>
      </c>
      <c r="C74" s="524">
        <f>$C$20</f>
        <v>-389748.16788807459</v>
      </c>
      <c r="D74" s="270">
        <f t="shared" ref="D74:J74" si="12">$C$20</f>
        <v>-389748.16788807459</v>
      </c>
      <c r="E74" s="271">
        <f t="shared" si="12"/>
        <v>-389748.16788807459</v>
      </c>
      <c r="F74" s="272">
        <f t="shared" si="12"/>
        <v>-389748.16788807459</v>
      </c>
      <c r="G74" s="270">
        <f t="shared" si="12"/>
        <v>-389748.16788807459</v>
      </c>
      <c r="H74" s="271">
        <f t="shared" si="12"/>
        <v>-389748.16788807459</v>
      </c>
      <c r="I74" s="272">
        <f t="shared" si="12"/>
        <v>-389748.16788807459</v>
      </c>
      <c r="J74" s="274">
        <f t="shared" si="12"/>
        <v>-389748.16788807459</v>
      </c>
    </row>
    <row r="75" spans="1:22" x14ac:dyDescent="0.25">
      <c r="B75" s="512" t="s">
        <v>361</v>
      </c>
      <c r="C75" s="525" t="s">
        <v>59</v>
      </c>
      <c r="D75" s="270">
        <f>C31</f>
        <v>988919</v>
      </c>
      <c r="E75" s="271">
        <f>D31</f>
        <v>1603781</v>
      </c>
      <c r="F75" s="272">
        <f>E31</f>
        <v>1296350</v>
      </c>
      <c r="G75" s="270">
        <f>C31</f>
        <v>988919</v>
      </c>
      <c r="H75" s="271">
        <f>D31</f>
        <v>1603781</v>
      </c>
      <c r="I75" s="272">
        <f>E31</f>
        <v>1296350</v>
      </c>
      <c r="J75" s="274">
        <f>E31</f>
        <v>1296350</v>
      </c>
    </row>
    <row r="76" spans="1:22" ht="45.75" customHeight="1" x14ac:dyDescent="0.25">
      <c r="B76" s="513" t="str">
        <f>B34</f>
        <v>Foglalkoztatási arány az új jogerősen elítélt fogvatartottak körében (Oktatásban vesz részt, vagy gazdasági társaságnál dolgozik)</v>
      </c>
      <c r="C76" s="510">
        <f>SUM(C77:C79)</f>
        <v>0.69647388367111551</v>
      </c>
      <c r="D76" s="359">
        <f>$C$34</f>
        <v>0</v>
      </c>
      <c r="E76" s="320">
        <f t="shared" ref="E76:F76" si="13">$C$34</f>
        <v>0</v>
      </c>
      <c r="F76" s="571">
        <f t="shared" si="13"/>
        <v>0</v>
      </c>
      <c r="G76" s="359">
        <f>$D$34</f>
        <v>1</v>
      </c>
      <c r="H76" s="320">
        <f t="shared" ref="H76:I76" si="14">$D$34</f>
        <v>1</v>
      </c>
      <c r="I76" s="571">
        <f t="shared" si="14"/>
        <v>1</v>
      </c>
      <c r="J76" s="360">
        <f>$E$34</f>
        <v>0.7</v>
      </c>
    </row>
    <row r="77" spans="1:22" ht="45" customHeight="1" x14ac:dyDescent="0.25">
      <c r="B77" s="639" t="str">
        <f>B36</f>
        <v>Munkáltatási arány az új jogerősen elítélt fogvatartottak körében a költségvetési munkában foglalkoztatottakat leszámítva (gazdasági társaságoknál)</v>
      </c>
      <c r="C77" s="510">
        <f>'1. Paraméterek - Eredmények'!C46/'1. Paraméterek - Eredmények'!C39</f>
        <v>0.3091118800461361</v>
      </c>
      <c r="D77" s="640">
        <f>($C$16-$C$79*D$73)*D$76*C36/$C$16</f>
        <v>0</v>
      </c>
      <c r="E77" s="642">
        <f t="shared" ref="E77:F78" si="15">($C$16-$C$79*E$73)*E$76*D36/$C$16</f>
        <v>0</v>
      </c>
      <c r="F77" s="643">
        <f t="shared" si="15"/>
        <v>0</v>
      </c>
      <c r="G77" s="640">
        <f>($C$16-$C$79*G$73)*G$76*C36/$C$16</f>
        <v>1</v>
      </c>
      <c r="H77" s="642">
        <f t="shared" ref="H77:I77" si="16">($C$16-$C$79*H$73)*H$76*D36/$C$16</f>
        <v>0</v>
      </c>
      <c r="I77" s="643">
        <f t="shared" si="16"/>
        <v>0.67739221178667552</v>
      </c>
      <c r="J77" s="641">
        <f>($C$16-$C$79*J$73)*J$76*E36/$C$16</f>
        <v>0.45529294886582089</v>
      </c>
    </row>
    <row r="78" spans="1:22" ht="60" x14ac:dyDescent="0.25">
      <c r="B78" s="639" t="str">
        <f>B37</f>
        <v>Oktatásban vagy képzésben résztvevők aránya a új jogerősen elítélt fogvatartottak körében (a költségvetési munkában foglalkoztatottakat leszámítva</v>
      </c>
      <c r="C78" s="510">
        <f>'1. Paraméterek - Eredmények'!D47</f>
        <v>0.1</v>
      </c>
      <c r="D78" s="640">
        <f>($C$16-$C$79*D$73)*D$76*C37/$C$16</f>
        <v>0</v>
      </c>
      <c r="E78" s="642">
        <f t="shared" si="15"/>
        <v>0</v>
      </c>
      <c r="F78" s="643">
        <f t="shared" si="15"/>
        <v>0</v>
      </c>
      <c r="G78" s="640">
        <f>($C$16-$C$79*G$73)*G$76*C37/$C$16</f>
        <v>0</v>
      </c>
      <c r="H78" s="642">
        <f t="shared" ref="H78" si="17">($C$16-$C$79*H$73)*H$76*D37/$C$16</f>
        <v>0.73179546328335254</v>
      </c>
      <c r="I78" s="643">
        <f t="shared" ref="I78" si="18">($C$16-$C$79*I$73)*I$76*E37/$C$16</f>
        <v>0.16934805294666888</v>
      </c>
      <c r="J78" s="641">
        <f>($C$16-$C$79*J$73)*J$76*E37/$C$16</f>
        <v>0.11382323721645522</v>
      </c>
    </row>
    <row r="79" spans="1:22" ht="30" x14ac:dyDescent="0.25">
      <c r="B79" s="639" t="s">
        <v>420</v>
      </c>
      <c r="C79" s="510">
        <f>'1. Paraméterek - Eredmények'!C45/'1. Paraméterek - Eredmények'!C39</f>
        <v>0.28736200362497938</v>
      </c>
      <c r="D79" s="640">
        <f>D73*$C$79/$C$16</f>
        <v>0</v>
      </c>
      <c r="E79" s="642">
        <f t="shared" ref="E79:J79" si="19">E73*$C$79/$C$16</f>
        <v>0.19310726643598614</v>
      </c>
      <c r="F79" s="643">
        <f t="shared" si="19"/>
        <v>0.22069401878398415</v>
      </c>
      <c r="G79" s="640">
        <f t="shared" si="19"/>
        <v>0</v>
      </c>
      <c r="H79" s="642">
        <f t="shared" si="19"/>
        <v>0.2682045367166474</v>
      </c>
      <c r="I79" s="643">
        <f t="shared" si="19"/>
        <v>0.15325973526665568</v>
      </c>
      <c r="J79" s="641">
        <f t="shared" si="19"/>
        <v>0.1869768770253199</v>
      </c>
    </row>
    <row r="80" spans="1:22" x14ac:dyDescent="0.25">
      <c r="B80" s="472" t="s">
        <v>364</v>
      </c>
      <c r="C80" s="523">
        <f>-1*$F$60</f>
        <v>-1462530000</v>
      </c>
      <c r="D80" s="514">
        <f t="shared" ref="D80:J80" si="20">$C$16*(1-$C$40)*(D$77*D$74+D$78*0.5*D$74)</f>
        <v>0</v>
      </c>
      <c r="E80" s="515">
        <f t="shared" si="20"/>
        <v>0</v>
      </c>
      <c r="F80" s="516">
        <f t="shared" si="20"/>
        <v>0</v>
      </c>
      <c r="G80" s="514">
        <f t="shared" si="20"/>
        <v>-409235576.28247833</v>
      </c>
      <c r="H80" s="515">
        <f t="shared" si="20"/>
        <v>-149738369.06883299</v>
      </c>
      <c r="I80" s="516">
        <f t="shared" si="20"/>
        <v>-311864616.17975563</v>
      </c>
      <c r="J80" s="517">
        <f t="shared" si="20"/>
        <v>-209612331.34475979</v>
      </c>
    </row>
    <row r="81" spans="2:10" x14ac:dyDescent="0.25">
      <c r="B81" s="472" t="s">
        <v>365</v>
      </c>
      <c r="C81" s="522" t="s">
        <v>59</v>
      </c>
      <c r="D81" s="518">
        <f t="shared" ref="D81:J81" si="21">$C$16*(1-$C$40)*D$78*D$75</f>
        <v>0</v>
      </c>
      <c r="E81" s="519">
        <f t="shared" si="21"/>
        <v>0</v>
      </c>
      <c r="F81" s="520">
        <f t="shared" si="21"/>
        <v>0</v>
      </c>
      <c r="G81" s="514">
        <f t="shared" si="21"/>
        <v>0</v>
      </c>
      <c r="H81" s="515">
        <f t="shared" si="21"/>
        <v>1232321642.8950403</v>
      </c>
      <c r="I81" s="516">
        <f t="shared" si="21"/>
        <v>230511065.85928491</v>
      </c>
      <c r="J81" s="517">
        <f t="shared" si="21"/>
        <v>154932491.24382931</v>
      </c>
    </row>
    <row r="82" spans="2:10" x14ac:dyDescent="0.25">
      <c r="B82" s="472" t="s">
        <v>414</v>
      </c>
      <c r="C82" s="523">
        <f>$C$25*($C$21*12-$C$22*365)</f>
        <v>839212800</v>
      </c>
      <c r="D82" s="514">
        <f>$C$16*(1-$C$40)*D79*($C$21*12-$C$22*365)</f>
        <v>0</v>
      </c>
      <c r="E82" s="515">
        <f t="shared" ref="E82:J82" si="22">$C$16*(1-$C$40)*E79*($C$21*12-$C$22*365)</f>
        <v>48784688.71972318</v>
      </c>
      <c r="F82" s="516">
        <f t="shared" si="22"/>
        <v>55753929.965397917</v>
      </c>
      <c r="G82" s="514">
        <f t="shared" si="22"/>
        <v>0</v>
      </c>
      <c r="H82" s="515">
        <f t="shared" si="22"/>
        <v>67756512.110726625</v>
      </c>
      <c r="I82" s="516">
        <f t="shared" si="22"/>
        <v>38718006.920415223</v>
      </c>
      <c r="J82" s="517">
        <f t="shared" si="22"/>
        <v>47235968.442906566</v>
      </c>
    </row>
    <row r="83" spans="2:10" x14ac:dyDescent="0.25">
      <c r="B83" s="393" t="s">
        <v>366</v>
      </c>
      <c r="C83" s="696">
        <f>SUM(C80:C82)</f>
        <v>-623317200</v>
      </c>
      <c r="D83" s="697">
        <f>SUM(D80:D82)</f>
        <v>0</v>
      </c>
      <c r="E83" s="697">
        <f t="shared" ref="E83:J83" si="23">SUM(E80:E82)</f>
        <v>48784688.71972318</v>
      </c>
      <c r="F83" s="698">
        <f t="shared" si="23"/>
        <v>55753929.965397917</v>
      </c>
      <c r="G83" s="697">
        <f t="shared" si="23"/>
        <v>-409235576.28247833</v>
      </c>
      <c r="H83" s="697">
        <f t="shared" si="23"/>
        <v>1150339785.9369338</v>
      </c>
      <c r="I83" s="698">
        <f t="shared" si="23"/>
        <v>-42635543.400055498</v>
      </c>
      <c r="J83" s="699">
        <f t="shared" si="23"/>
        <v>-7443871.6580239162</v>
      </c>
    </row>
    <row r="84" spans="2:10" x14ac:dyDescent="0.25">
      <c r="B84" s="393" t="s">
        <v>370</v>
      </c>
      <c r="C84" s="696">
        <f>C83/'1. Paraméterek - Eredmények'!$C$38</f>
        <v>-34350.115727984128</v>
      </c>
      <c r="D84" s="697">
        <f>D83/$C$16</f>
        <v>0</v>
      </c>
      <c r="E84" s="697">
        <f t="shared" ref="E84:J84" si="24">E83/$C$16</f>
        <v>32523.125813148788</v>
      </c>
      <c r="F84" s="698">
        <f t="shared" si="24"/>
        <v>37169.286643598614</v>
      </c>
      <c r="G84" s="697">
        <f t="shared" si="24"/>
        <v>-272823.71752165223</v>
      </c>
      <c r="H84" s="697">
        <f t="shared" si="24"/>
        <v>766893.19062462251</v>
      </c>
      <c r="I84" s="698">
        <f t="shared" si="24"/>
        <v>-28423.695600036997</v>
      </c>
      <c r="J84" s="699">
        <f t="shared" si="24"/>
        <v>-4962.5811053492771</v>
      </c>
    </row>
    <row r="85" spans="2:10" ht="15.75" thickBot="1" x14ac:dyDescent="0.3">
      <c r="B85" s="686" t="s">
        <v>371</v>
      </c>
      <c r="C85" s="700">
        <f>C84/365</f>
        <v>-94.109906104066098</v>
      </c>
      <c r="D85" s="701">
        <f>D84/365</f>
        <v>0</v>
      </c>
      <c r="E85" s="701">
        <f t="shared" ref="E85:J85" si="25">E84/365</f>
        <v>89.10445428259942</v>
      </c>
      <c r="F85" s="702">
        <f t="shared" si="25"/>
        <v>101.83366203725647</v>
      </c>
      <c r="G85" s="701">
        <f t="shared" si="25"/>
        <v>-747.46223978534863</v>
      </c>
      <c r="H85" s="701">
        <f t="shared" si="25"/>
        <v>2101.0772345880068</v>
      </c>
      <c r="I85" s="702">
        <f t="shared" si="25"/>
        <v>-77.873138630238344</v>
      </c>
      <c r="J85" s="703">
        <f t="shared" si="25"/>
        <v>-13.59611261739528</v>
      </c>
    </row>
    <row r="86" spans="2:10" x14ac:dyDescent="0.25">
      <c r="B86" s="152"/>
      <c r="C86" s="511"/>
      <c r="D86" s="405"/>
      <c r="E86" s="405"/>
      <c r="F86" s="405"/>
      <c r="G86" s="405"/>
      <c r="H86" s="405"/>
      <c r="I86" s="405"/>
      <c r="J86" s="405"/>
    </row>
    <row r="87" spans="2:10" ht="15.75" thickBot="1" x14ac:dyDescent="0.3">
      <c r="B87" s="328" t="s">
        <v>270</v>
      </c>
      <c r="C87" s="713"/>
    </row>
    <row r="88" spans="2:10" x14ac:dyDescent="0.25">
      <c r="B88" s="808" t="s">
        <v>364</v>
      </c>
      <c r="C88" s="809">
        <f>-1*$F$60</f>
        <v>-1462530000</v>
      </c>
      <c r="D88" s="810">
        <f t="shared" ref="D88:J88" si="26">$C$16*(1-$E$40)*(D$77*D$74+D$78*0.5*D$74)</f>
        <v>0</v>
      </c>
      <c r="E88" s="811">
        <f t="shared" si="26"/>
        <v>0</v>
      </c>
      <c r="F88" s="812">
        <f t="shared" si="26"/>
        <v>0</v>
      </c>
      <c r="G88" s="813">
        <f t="shared" si="26"/>
        <v>0</v>
      </c>
      <c r="H88" s="814">
        <f t="shared" si="26"/>
        <v>0</v>
      </c>
      <c r="I88" s="815">
        <f t="shared" si="26"/>
        <v>0</v>
      </c>
      <c r="J88" s="816">
        <f t="shared" si="26"/>
        <v>0</v>
      </c>
    </row>
    <row r="89" spans="2:10" x14ac:dyDescent="0.25">
      <c r="B89" s="817" t="s">
        <v>365</v>
      </c>
      <c r="C89" s="818" t="s">
        <v>59</v>
      </c>
      <c r="D89" s="819">
        <f t="shared" ref="D89:J89" si="27">$C$16*(1-$E$40)*D$78*D$75</f>
        <v>0</v>
      </c>
      <c r="E89" s="820">
        <f t="shared" si="27"/>
        <v>0</v>
      </c>
      <c r="F89" s="821">
        <f t="shared" si="27"/>
        <v>0</v>
      </c>
      <c r="G89" s="822">
        <f t="shared" si="27"/>
        <v>0</v>
      </c>
      <c r="H89" s="823">
        <f t="shared" si="27"/>
        <v>0</v>
      </c>
      <c r="I89" s="824">
        <f t="shared" si="27"/>
        <v>0</v>
      </c>
      <c r="J89" s="825">
        <f t="shared" si="27"/>
        <v>0</v>
      </c>
    </row>
    <row r="90" spans="2:10" x14ac:dyDescent="0.25">
      <c r="B90" s="817" t="s">
        <v>414</v>
      </c>
      <c r="C90" s="809">
        <f>$C$25*($C$21*12-$C$22*365)</f>
        <v>839212800</v>
      </c>
      <c r="D90" s="819">
        <f>$C$16*(1-$E$40)*D79*($C$21*12-$C$22*365)</f>
        <v>0</v>
      </c>
      <c r="E90" s="820">
        <f t="shared" ref="E90:J90" si="28">$C$16*(1-$E$40)*E79*($C$21*12-$C$22*365)</f>
        <v>0</v>
      </c>
      <c r="F90" s="821">
        <f t="shared" si="28"/>
        <v>0</v>
      </c>
      <c r="G90" s="822">
        <f t="shared" si="28"/>
        <v>0</v>
      </c>
      <c r="H90" s="823">
        <f t="shared" si="28"/>
        <v>0</v>
      </c>
      <c r="I90" s="824">
        <f t="shared" si="28"/>
        <v>0</v>
      </c>
      <c r="J90" s="825">
        <f t="shared" si="28"/>
        <v>0</v>
      </c>
    </row>
    <row r="91" spans="2:10" x14ac:dyDescent="0.25">
      <c r="B91" s="826" t="s">
        <v>366</v>
      </c>
      <c r="C91" s="827">
        <f>SUM(C88:C90)</f>
        <v>-623317200</v>
      </c>
      <c r="D91" s="481">
        <f t="shared" ref="D91:J91" si="29">$C$16*(1-$E$40)*(D$77*D$74+D$78*D$75+D$78*0.5*D$74)</f>
        <v>0</v>
      </c>
      <c r="E91" s="481">
        <f t="shared" si="29"/>
        <v>0</v>
      </c>
      <c r="F91" s="482">
        <f t="shared" si="29"/>
        <v>0</v>
      </c>
      <c r="G91" s="481">
        <f t="shared" si="29"/>
        <v>0</v>
      </c>
      <c r="H91" s="481">
        <f t="shared" si="29"/>
        <v>0</v>
      </c>
      <c r="I91" s="482">
        <f t="shared" si="29"/>
        <v>0</v>
      </c>
      <c r="J91" s="483">
        <f t="shared" si="29"/>
        <v>0</v>
      </c>
    </row>
    <row r="92" spans="2:10" x14ac:dyDescent="0.25">
      <c r="B92" s="826" t="s">
        <v>370</v>
      </c>
      <c r="C92" s="827">
        <f>C91/'1. Paraméterek - Eredmények'!$C$38</f>
        <v>-34350.115727984128</v>
      </c>
      <c r="D92" s="481">
        <f>D91/$C$16</f>
        <v>0</v>
      </c>
      <c r="E92" s="481">
        <f t="shared" ref="E92" si="30">E91/$C$16</f>
        <v>0</v>
      </c>
      <c r="F92" s="482">
        <f t="shared" ref="F92" si="31">F91/$C$16</f>
        <v>0</v>
      </c>
      <c r="G92" s="481">
        <f t="shared" ref="G92" si="32">G91/$C$16</f>
        <v>0</v>
      </c>
      <c r="H92" s="481">
        <f t="shared" ref="H92" si="33">H91/$C$16</f>
        <v>0</v>
      </c>
      <c r="I92" s="482">
        <f t="shared" ref="I92" si="34">I91/$C$16</f>
        <v>0</v>
      </c>
      <c r="J92" s="483">
        <f t="shared" ref="J92" si="35">J91/$C$16</f>
        <v>0</v>
      </c>
    </row>
    <row r="93" spans="2:10" ht="15.75" thickBot="1" x14ac:dyDescent="0.3">
      <c r="B93" s="828" t="s">
        <v>371</v>
      </c>
      <c r="C93" s="829">
        <f>C92/365</f>
        <v>-94.109906104066098</v>
      </c>
      <c r="D93" s="830">
        <f>D92/365</f>
        <v>0</v>
      </c>
      <c r="E93" s="830">
        <f t="shared" ref="E93" si="36">E92/365</f>
        <v>0</v>
      </c>
      <c r="F93" s="831">
        <f t="shared" ref="F93" si="37">F92/365</f>
        <v>0</v>
      </c>
      <c r="G93" s="830">
        <f t="shared" ref="G93" si="38">G92/365</f>
        <v>0</v>
      </c>
      <c r="H93" s="830">
        <f t="shared" ref="H93" si="39">H92/365</f>
        <v>0</v>
      </c>
      <c r="I93" s="831">
        <f t="shared" ref="I93" si="40">I92/365</f>
        <v>0</v>
      </c>
      <c r="J93" s="832">
        <f t="shared" ref="J93" si="41">J92/365</f>
        <v>0</v>
      </c>
    </row>
    <row r="95" spans="2:10" ht="15.75" thickBot="1" x14ac:dyDescent="0.3">
      <c r="B95" s="328" t="s">
        <v>269</v>
      </c>
      <c r="C95" s="713"/>
    </row>
    <row r="96" spans="2:10" x14ac:dyDescent="0.25">
      <c r="B96" s="808" t="s">
        <v>364</v>
      </c>
      <c r="C96" s="809">
        <f>-1*$F$60</f>
        <v>-1462530000</v>
      </c>
      <c r="D96" s="833">
        <f t="shared" ref="D96:J96" si="42">$C$16*(1-$D$40)*(D$77*D$74+D$78*0.5*D$74)</f>
        <v>0</v>
      </c>
      <c r="E96" s="833">
        <f t="shared" si="42"/>
        <v>0</v>
      </c>
      <c r="F96" s="834">
        <f t="shared" si="42"/>
        <v>0</v>
      </c>
      <c r="G96" s="833">
        <f t="shared" si="42"/>
        <v>-584622251.83211184</v>
      </c>
      <c r="H96" s="833">
        <f t="shared" si="42"/>
        <v>-213911955.81261858</v>
      </c>
      <c r="I96" s="834">
        <f t="shared" si="42"/>
        <v>-445520880.25679374</v>
      </c>
      <c r="J96" s="835">
        <f t="shared" si="42"/>
        <v>-299446187.63537115</v>
      </c>
    </row>
    <row r="97" spans="2:10" x14ac:dyDescent="0.25">
      <c r="B97" s="817" t="s">
        <v>365</v>
      </c>
      <c r="C97" s="818" t="s">
        <v>59</v>
      </c>
      <c r="D97" s="836">
        <f t="shared" ref="D97:J97" si="43">$C$16*(1-$D$40)*D$78*D$75</f>
        <v>0</v>
      </c>
      <c r="E97" s="836">
        <f t="shared" si="43"/>
        <v>0</v>
      </c>
      <c r="F97" s="837">
        <f t="shared" si="43"/>
        <v>0</v>
      </c>
      <c r="G97" s="836">
        <f t="shared" si="43"/>
        <v>0</v>
      </c>
      <c r="H97" s="836">
        <f t="shared" si="43"/>
        <v>1760459489.8500576</v>
      </c>
      <c r="I97" s="837">
        <f t="shared" si="43"/>
        <v>329301522.65612131</v>
      </c>
      <c r="J97" s="838">
        <f t="shared" si="43"/>
        <v>221332130.34832758</v>
      </c>
    </row>
    <row r="98" spans="2:10" x14ac:dyDescent="0.25">
      <c r="B98" s="817" t="s">
        <v>414</v>
      </c>
      <c r="C98" s="809">
        <f>$C$25*($C$21*12-$C$22*365)</f>
        <v>839212800</v>
      </c>
      <c r="D98" s="836">
        <f>$C$16*(1-$D$40)*D79*($C$21*12-$C$22*365)</f>
        <v>0</v>
      </c>
      <c r="E98" s="836">
        <f t="shared" ref="E98:J98" si="44">$C$16*(1-$D$40)*E79*($C$21*12-$C$22*365)</f>
        <v>69692412.456747398</v>
      </c>
      <c r="F98" s="837">
        <f t="shared" si="44"/>
        <v>79648471.379139885</v>
      </c>
      <c r="G98" s="836">
        <f t="shared" si="44"/>
        <v>0</v>
      </c>
      <c r="H98" s="836">
        <f t="shared" si="44"/>
        <v>96795017.301038057</v>
      </c>
      <c r="I98" s="837">
        <f t="shared" si="44"/>
        <v>55311438.45773603</v>
      </c>
      <c r="J98" s="838">
        <f t="shared" si="44"/>
        <v>67479954.918437958</v>
      </c>
    </row>
    <row r="99" spans="2:10" x14ac:dyDescent="0.25">
      <c r="B99" s="826" t="s">
        <v>366</v>
      </c>
      <c r="C99" s="827">
        <f>SUM(C96:C98)</f>
        <v>-623317200</v>
      </c>
      <c r="D99" s="481">
        <f t="shared" ref="D99:J99" si="45">$C$16*(1-$D$40)*(D$77*D$74+D$78*D$75+D$78*0.5*D$74)</f>
        <v>0</v>
      </c>
      <c r="E99" s="481">
        <f t="shared" si="45"/>
        <v>0</v>
      </c>
      <c r="F99" s="482">
        <f t="shared" si="45"/>
        <v>0</v>
      </c>
      <c r="G99" s="481">
        <f t="shared" si="45"/>
        <v>-584622251.83211184</v>
      </c>
      <c r="H99" s="481">
        <f t="shared" si="45"/>
        <v>1546547534.0374393</v>
      </c>
      <c r="I99" s="482">
        <f t="shared" si="45"/>
        <v>-116219357.60067241</v>
      </c>
      <c r="J99" s="483">
        <f t="shared" si="45"/>
        <v>-78114057.287043512</v>
      </c>
    </row>
    <row r="100" spans="2:10" x14ac:dyDescent="0.25">
      <c r="B100" s="826" t="s">
        <v>370</v>
      </c>
      <c r="C100" s="827">
        <f>C99/'1. Paraméterek - Eredmények'!$C$38</f>
        <v>-34350.115727984128</v>
      </c>
      <c r="D100" s="481">
        <f>D99/$C$16</f>
        <v>0</v>
      </c>
      <c r="E100" s="481">
        <f t="shared" ref="E100" si="46">E99/$C$16</f>
        <v>0</v>
      </c>
      <c r="F100" s="482">
        <f t="shared" ref="F100" si="47">F99/$C$16</f>
        <v>0</v>
      </c>
      <c r="G100" s="481">
        <f t="shared" ref="G100" si="48">G99/$C$16</f>
        <v>-389748.16788807453</v>
      </c>
      <c r="H100" s="481">
        <f t="shared" ref="H100" si="49">H99/$C$16</f>
        <v>1031031.6893582928</v>
      </c>
      <c r="I100" s="482">
        <f t="shared" ref="I100" si="50">I99/$C$16</f>
        <v>-77479.571733781602</v>
      </c>
      <c r="J100" s="483">
        <f t="shared" ref="J100" si="51">J99/$C$16</f>
        <v>-52076.038191362342</v>
      </c>
    </row>
    <row r="101" spans="2:10" ht="15.75" thickBot="1" x14ac:dyDescent="0.3">
      <c r="B101" s="828" t="s">
        <v>371</v>
      </c>
      <c r="C101" s="829">
        <f>C100/365</f>
        <v>-94.109906104066098</v>
      </c>
      <c r="D101" s="830">
        <f>D100/365</f>
        <v>0</v>
      </c>
      <c r="E101" s="830">
        <f t="shared" ref="E101" si="52">E100/365</f>
        <v>0</v>
      </c>
      <c r="F101" s="831">
        <f t="shared" ref="F101" si="53">F100/365</f>
        <v>0</v>
      </c>
      <c r="G101" s="830">
        <f t="shared" ref="G101" si="54">G100/365</f>
        <v>-1067.8031996933548</v>
      </c>
      <c r="H101" s="830">
        <f t="shared" ref="H101" si="55">H100/365</f>
        <v>2824.7443544062817</v>
      </c>
      <c r="I101" s="831">
        <f t="shared" ref="I101" si="56">I100/365</f>
        <v>-212.27279927063452</v>
      </c>
      <c r="J101" s="832">
        <f t="shared" ref="J101" si="57">J100/365</f>
        <v>-142.67407723660915</v>
      </c>
    </row>
  </sheetData>
  <sheetProtection algorithmName="SHA-512" hashValue="CUDwNaMy4KjfffQu9EeZybmMkaLTytQGjWte5xyUGOlMLlC+kjc2atQWddDzNGpdSOqUY0IdtkTskQrzH8hGOg==" saltValue="u80t8wd3SDSwdw4jR41l6g==" spinCount="100000" sheet="1" objects="1" scenarios="1"/>
  <mergeCells count="20">
    <mergeCell ref="K43:N43"/>
    <mergeCell ref="B43:B44"/>
    <mergeCell ref="B70:B71"/>
    <mergeCell ref="C70:C71"/>
    <mergeCell ref="D70:F70"/>
    <mergeCell ref="G70:I70"/>
    <mergeCell ref="J70:J71"/>
    <mergeCell ref="C43:F43"/>
    <mergeCell ref="G43:J43"/>
    <mergeCell ref="J9:J10"/>
    <mergeCell ref="B2:B3"/>
    <mergeCell ref="C2:C3"/>
    <mergeCell ref="D2:F2"/>
    <mergeCell ref="G2:I2"/>
    <mergeCell ref="J2:J3"/>
    <mergeCell ref="F34:H37"/>
    <mergeCell ref="B9:B10"/>
    <mergeCell ref="C9:C10"/>
    <mergeCell ref="D9:F9"/>
    <mergeCell ref="G9:I9"/>
  </mergeCells>
  <dataValidations count="2">
    <dataValidation type="decimal" allowBlank="1" showInputMessage="1" showErrorMessage="1" errorTitle="Helytelen érték" error="A megadott értéknek 0 és 100% között kell lennie." promptTitle="Munkáltatási arány" prompt="Adja meg, hogy az új jogerősen elítéltek közül, akik foglaloztatásban vannak, mekkora arány vesz részt munkáltatásban! (Ez és az oktatásban résztvevők aránya összesen 100% kell hogy legyen.)" sqref="E36">
      <formula1>D36</formula1>
      <formula2>C36</formula2>
    </dataValidation>
    <dataValidation type="decimal" allowBlank="1" showInputMessage="1" showErrorMessage="1" errorTitle="Helytelen érték" error="A megadott értéknek 0 és 100% között kell lennie." prompt="Adja meg, hogy az új jogerősen elítéltek közül, akik foglaloztatásban vannak, mekkora arány vesz részt oktatásban! (Ez és a munkáltatásban résztvevők aránya összesen 100% kell hogy legyen.)" sqref="E37">
      <formula1>C37</formula1>
      <formula2>D37</formula2>
    </dataValidation>
  </dataValidation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workbookViewId="0">
      <selection activeCell="J17" sqref="J17"/>
    </sheetView>
  </sheetViews>
  <sheetFormatPr defaultRowHeight="15" x14ac:dyDescent="0.25"/>
  <cols>
    <col min="1" max="1" width="4" style="329" customWidth="1"/>
    <col min="2" max="2" width="39.5703125" style="339" customWidth="1"/>
    <col min="3" max="3" width="13.42578125" style="329" customWidth="1"/>
    <col min="4" max="4" width="17.42578125" style="329" customWidth="1"/>
    <col min="5" max="5" width="16.85546875" style="329" bestFit="1" customWidth="1"/>
    <col min="6" max="6" width="15.140625" style="329" customWidth="1"/>
    <col min="7" max="7" width="15.7109375" style="329" customWidth="1"/>
    <col min="8" max="8" width="15.85546875" style="329" customWidth="1"/>
    <col min="9" max="9" width="14.5703125" style="329" customWidth="1"/>
    <col min="10" max="10" width="15.140625" style="329" customWidth="1"/>
    <col min="11" max="16384" width="9.140625" style="329"/>
  </cols>
  <sheetData>
    <row r="1" spans="2:10" ht="15.75" thickBot="1" x14ac:dyDescent="0.3">
      <c r="B1" s="328" t="s">
        <v>265</v>
      </c>
    </row>
    <row r="2" spans="2:10" ht="15.75" x14ac:dyDescent="0.25">
      <c r="B2" s="874" t="s">
        <v>12</v>
      </c>
      <c r="C2" s="876" t="s">
        <v>10</v>
      </c>
      <c r="D2" s="882" t="s">
        <v>1</v>
      </c>
      <c r="E2" s="883"/>
      <c r="F2" s="884"/>
      <c r="G2" s="882" t="s">
        <v>99</v>
      </c>
      <c r="H2" s="883"/>
      <c r="I2" s="884"/>
      <c r="J2" s="880" t="s">
        <v>112</v>
      </c>
    </row>
    <row r="3" spans="2:10" ht="16.5" thickBot="1" x14ac:dyDescent="0.3">
      <c r="B3" s="875"/>
      <c r="C3" s="877"/>
      <c r="D3" s="81" t="s">
        <v>86</v>
      </c>
      <c r="E3" s="82" t="s">
        <v>87</v>
      </c>
      <c r="F3" s="83" t="s">
        <v>112</v>
      </c>
      <c r="G3" s="81" t="s">
        <v>86</v>
      </c>
      <c r="H3" s="82" t="s">
        <v>87</v>
      </c>
      <c r="I3" s="83" t="s">
        <v>112</v>
      </c>
      <c r="J3" s="881"/>
    </row>
    <row r="4" spans="2:10" x14ac:dyDescent="0.25">
      <c r="B4" s="84" t="s">
        <v>372</v>
      </c>
      <c r="C4" s="851">
        <f>C37</f>
        <v>3058938.6090598479</v>
      </c>
      <c r="D4" s="253">
        <f t="shared" ref="D4:J4" si="0">D37</f>
        <v>3058938.6090598479</v>
      </c>
      <c r="E4" s="253">
        <f t="shared" si="0"/>
        <v>3058938.6090598479</v>
      </c>
      <c r="F4" s="254">
        <f t="shared" si="0"/>
        <v>3058938.6090598479</v>
      </c>
      <c r="G4" s="253">
        <f t="shared" si="0"/>
        <v>0</v>
      </c>
      <c r="H4" s="253">
        <f t="shared" si="0"/>
        <v>0</v>
      </c>
      <c r="I4" s="254">
        <f t="shared" si="0"/>
        <v>0</v>
      </c>
      <c r="J4" s="255">
        <f t="shared" si="0"/>
        <v>3058938.6090598479</v>
      </c>
    </row>
    <row r="5" spans="2:10" x14ac:dyDescent="0.25">
      <c r="B5" s="84" t="s">
        <v>373</v>
      </c>
      <c r="C5" s="851">
        <f t="shared" ref="C5:J5" si="1">C38</f>
        <v>2039.2924060398987</v>
      </c>
      <c r="D5" s="253">
        <f t="shared" si="1"/>
        <v>2039.2924060398987</v>
      </c>
      <c r="E5" s="253">
        <f t="shared" si="1"/>
        <v>2039.2924060398987</v>
      </c>
      <c r="F5" s="254">
        <f t="shared" si="1"/>
        <v>2039.2924060398987</v>
      </c>
      <c r="G5" s="253">
        <f t="shared" si="1"/>
        <v>0</v>
      </c>
      <c r="H5" s="253">
        <f t="shared" si="1"/>
        <v>0</v>
      </c>
      <c r="I5" s="254">
        <f t="shared" si="1"/>
        <v>0</v>
      </c>
      <c r="J5" s="255">
        <f t="shared" si="1"/>
        <v>2039.2924060398987</v>
      </c>
    </row>
    <row r="6" spans="2:10" ht="15.75" thickBot="1" x14ac:dyDescent="0.3">
      <c r="B6" s="85" t="s">
        <v>374</v>
      </c>
      <c r="C6" s="852">
        <f t="shared" ref="C6:J6" si="2">C39</f>
        <v>5.5871024823010922</v>
      </c>
      <c r="D6" s="256">
        <f t="shared" si="2"/>
        <v>5.5871024823010922</v>
      </c>
      <c r="E6" s="256">
        <f t="shared" si="2"/>
        <v>5.5871024823010922</v>
      </c>
      <c r="F6" s="257">
        <f t="shared" si="2"/>
        <v>5.5871024823010922</v>
      </c>
      <c r="G6" s="256">
        <f t="shared" si="2"/>
        <v>0</v>
      </c>
      <c r="H6" s="256">
        <f t="shared" si="2"/>
        <v>0</v>
      </c>
      <c r="I6" s="257">
        <f t="shared" si="2"/>
        <v>0</v>
      </c>
      <c r="J6" s="258">
        <f t="shared" si="2"/>
        <v>5.5871024823010922</v>
      </c>
    </row>
    <row r="7" spans="2:10" x14ac:dyDescent="0.25">
      <c r="B7" s="220"/>
      <c r="C7" s="299"/>
      <c r="D7" s="193"/>
      <c r="E7" s="193"/>
      <c r="G7" s="193"/>
      <c r="H7" s="193"/>
      <c r="I7" s="193"/>
      <c r="J7" s="193"/>
    </row>
    <row r="8" spans="2:10" ht="15.75" thickBot="1" x14ac:dyDescent="0.3">
      <c r="B8" s="330" t="s">
        <v>118</v>
      </c>
      <c r="C8" s="299"/>
      <c r="D8" s="193"/>
      <c r="E8" s="193"/>
      <c r="G8" s="193"/>
      <c r="H8" s="193"/>
      <c r="I8" s="193"/>
      <c r="J8" s="193"/>
    </row>
    <row r="9" spans="2:10" ht="15.75" x14ac:dyDescent="0.25">
      <c r="B9" s="874" t="s">
        <v>12</v>
      </c>
      <c r="C9" s="876" t="s">
        <v>10</v>
      </c>
      <c r="D9" s="882" t="s">
        <v>1</v>
      </c>
      <c r="E9" s="883"/>
      <c r="F9" s="884"/>
      <c r="G9" s="882" t="s">
        <v>99</v>
      </c>
      <c r="H9" s="883"/>
      <c r="I9" s="884"/>
      <c r="J9" s="880" t="s">
        <v>112</v>
      </c>
    </row>
    <row r="10" spans="2:10" ht="16.5" thickBot="1" x14ac:dyDescent="0.3">
      <c r="B10" s="875"/>
      <c r="C10" s="877"/>
      <c r="D10" s="81" t="s">
        <v>86</v>
      </c>
      <c r="E10" s="82" t="s">
        <v>87</v>
      </c>
      <c r="F10" s="83" t="s">
        <v>112</v>
      </c>
      <c r="G10" s="81" t="s">
        <v>86</v>
      </c>
      <c r="H10" s="82" t="s">
        <v>87</v>
      </c>
      <c r="I10" s="83" t="s">
        <v>112</v>
      </c>
      <c r="J10" s="881"/>
    </row>
    <row r="11" spans="2:10" x14ac:dyDescent="0.25">
      <c r="B11" s="109" t="s">
        <v>372</v>
      </c>
      <c r="C11" s="110"/>
      <c r="D11" s="126"/>
      <c r="E11" s="127"/>
      <c r="F11" s="128"/>
      <c r="G11" s="126"/>
      <c r="H11" s="127"/>
      <c r="I11" s="128"/>
      <c r="J11" s="129"/>
    </row>
    <row r="12" spans="2:10" x14ac:dyDescent="0.25">
      <c r="B12" s="109" t="s">
        <v>373</v>
      </c>
      <c r="C12" s="110"/>
      <c r="D12" s="126"/>
      <c r="E12" s="127"/>
      <c r="F12" s="128"/>
      <c r="G12" s="126"/>
      <c r="H12" s="127"/>
      <c r="I12" s="128"/>
      <c r="J12" s="129"/>
    </row>
    <row r="13" spans="2:10" ht="15.75" thickBot="1" x14ac:dyDescent="0.3">
      <c r="B13" s="243" t="s">
        <v>374</v>
      </c>
      <c r="C13" s="331"/>
      <c r="D13" s="332"/>
      <c r="E13" s="333"/>
      <c r="F13" s="334"/>
      <c r="G13" s="332"/>
      <c r="H13" s="333"/>
      <c r="I13" s="334"/>
      <c r="J13" s="169"/>
    </row>
    <row r="14" spans="2:10" x14ac:dyDescent="0.25">
      <c r="B14" s="220"/>
      <c r="C14" s="299"/>
      <c r="D14" s="193"/>
      <c r="E14" s="193"/>
      <c r="F14" s="193"/>
      <c r="G14" s="193"/>
      <c r="H14" s="193"/>
      <c r="I14" s="193"/>
    </row>
    <row r="15" spans="2:10" ht="15.75" x14ac:dyDescent="0.25">
      <c r="B15" s="76" t="s">
        <v>56</v>
      </c>
      <c r="C15" s="86"/>
    </row>
    <row r="16" spans="2:10" x14ac:dyDescent="0.25">
      <c r="B16" s="87" t="s">
        <v>11</v>
      </c>
      <c r="C16" s="375">
        <f>Fogvatartottak_számának_növekedése</f>
        <v>1500</v>
      </c>
    </row>
    <row r="17" spans="2:6" x14ac:dyDescent="0.25">
      <c r="B17" s="220"/>
      <c r="C17" s="535"/>
    </row>
    <row r="18" spans="2:6" x14ac:dyDescent="0.25">
      <c r="B18" s="330" t="s">
        <v>37</v>
      </c>
      <c r="C18" s="535"/>
    </row>
    <row r="19" spans="2:6" x14ac:dyDescent="0.25">
      <c r="B19" s="537" t="s">
        <v>378</v>
      </c>
      <c r="C19" s="535"/>
    </row>
    <row r="20" spans="2:6" x14ac:dyDescent="0.25">
      <c r="B20" s="220" t="s">
        <v>377</v>
      </c>
      <c r="C20" s="536">
        <v>300</v>
      </c>
    </row>
    <row r="21" spans="2:6" x14ac:dyDescent="0.25">
      <c r="B21" s="335"/>
      <c r="C21" s="287"/>
    </row>
    <row r="22" spans="2:6" x14ac:dyDescent="0.25">
      <c r="B22" s="76" t="s">
        <v>227</v>
      </c>
      <c r="C22" s="77" t="s">
        <v>1</v>
      </c>
      <c r="D22" s="77" t="s">
        <v>99</v>
      </c>
      <c r="E22" s="78" t="s">
        <v>60</v>
      </c>
      <c r="F22" s="329" t="s">
        <v>375</v>
      </c>
    </row>
    <row r="23" spans="2:6" x14ac:dyDescent="0.25">
      <c r="B23" s="90" t="s">
        <v>3</v>
      </c>
      <c r="C23" s="354">
        <f>'1. Paraméterek - Eredmények'!C60</f>
        <v>1.44</v>
      </c>
      <c r="D23" s="354">
        <f>'1. Paraméterek - Eredmények'!D60</f>
        <v>1</v>
      </c>
      <c r="E23" s="355">
        <f>'1. Paraméterek - Eredmények'!E60</f>
        <v>1.22</v>
      </c>
    </row>
    <row r="24" spans="2:6" s="338" customFormat="1" ht="15.75" thickBot="1" x14ac:dyDescent="0.3">
      <c r="B24" s="220"/>
      <c r="C24" s="336"/>
      <c r="D24" s="336"/>
      <c r="E24" s="336"/>
    </row>
    <row r="25" spans="2:6" x14ac:dyDescent="0.25">
      <c r="B25" s="538" t="s">
        <v>376</v>
      </c>
      <c r="C25" s="539" t="s">
        <v>383</v>
      </c>
      <c r="D25" s="540" t="s">
        <v>384</v>
      </c>
    </row>
    <row r="26" spans="2:6" x14ac:dyDescent="0.25">
      <c r="B26" s="16" t="s">
        <v>379</v>
      </c>
      <c r="C26" s="541">
        <v>6500</v>
      </c>
      <c r="D26" s="542"/>
    </row>
    <row r="27" spans="2:6" x14ac:dyDescent="0.25">
      <c r="B27" s="16" t="s">
        <v>380</v>
      </c>
      <c r="C27" s="541">
        <v>14000</v>
      </c>
      <c r="D27" s="542"/>
    </row>
    <row r="28" spans="2:6" x14ac:dyDescent="0.25">
      <c r="B28" s="16" t="s">
        <v>381</v>
      </c>
      <c r="C28" s="541">
        <v>18500</v>
      </c>
      <c r="D28" s="542"/>
    </row>
    <row r="29" spans="2:6" x14ac:dyDescent="0.25">
      <c r="B29" s="16" t="s">
        <v>444</v>
      </c>
      <c r="C29" s="541">
        <f>123350-39000</f>
        <v>84350</v>
      </c>
      <c r="D29" s="542"/>
    </row>
    <row r="30" spans="2:6" x14ac:dyDescent="0.25">
      <c r="B30" s="543" t="s">
        <v>7</v>
      </c>
      <c r="C30" s="544">
        <f>SUM(C26:C29)</f>
        <v>123350</v>
      </c>
      <c r="D30" s="545">
        <f>C30*C20</f>
        <v>37005000</v>
      </c>
    </row>
    <row r="31" spans="2:6" ht="15.75" thickBot="1" x14ac:dyDescent="0.3">
      <c r="B31" s="546" t="s">
        <v>382</v>
      </c>
      <c r="C31" s="547">
        <f>C30/'1. Paraméterek - Eredmények'!$C$38</f>
        <v>6.7976413534663287</v>
      </c>
      <c r="D31" s="548">
        <f>D30/'1. Paraméterek - Eredmények'!$C$38</f>
        <v>2039.2924060398987</v>
      </c>
    </row>
    <row r="33" spans="2:10" ht="15.75" thickBot="1" x14ac:dyDescent="0.3"/>
    <row r="34" spans="2:10" s="97" customFormat="1" x14ac:dyDescent="0.25">
      <c r="B34" s="893" t="s">
        <v>12</v>
      </c>
      <c r="C34" s="855" t="s">
        <v>10</v>
      </c>
      <c r="D34" s="857" t="s">
        <v>1</v>
      </c>
      <c r="E34" s="858"/>
      <c r="F34" s="859"/>
      <c r="G34" s="857" t="s">
        <v>99</v>
      </c>
      <c r="H34" s="858"/>
      <c r="I34" s="859"/>
      <c r="J34" s="861" t="s">
        <v>112</v>
      </c>
    </row>
    <row r="35" spans="2:10" s="97" customFormat="1" ht="15.75" thickBot="1" x14ac:dyDescent="0.3">
      <c r="B35" s="894"/>
      <c r="C35" s="856"/>
      <c r="D35" s="288" t="s">
        <v>86</v>
      </c>
      <c r="E35" s="289" t="s">
        <v>87</v>
      </c>
      <c r="F35" s="290" t="s">
        <v>112</v>
      </c>
      <c r="G35" s="288" t="s">
        <v>86</v>
      </c>
      <c r="H35" s="289" t="s">
        <v>87</v>
      </c>
      <c r="I35" s="290" t="s">
        <v>112</v>
      </c>
      <c r="J35" s="862"/>
    </row>
    <row r="36" spans="2:10" s="97" customFormat="1" x14ac:dyDescent="0.25">
      <c r="B36" s="554" t="s">
        <v>3</v>
      </c>
      <c r="C36" s="557"/>
      <c r="D36" s="555">
        <f>$C$23</f>
        <v>1.44</v>
      </c>
      <c r="E36" s="555">
        <f t="shared" ref="E36:F36" si="3">$C$23</f>
        <v>1.44</v>
      </c>
      <c r="F36" s="555">
        <f t="shared" si="3"/>
        <v>1.44</v>
      </c>
      <c r="G36" s="558">
        <f>$D$23</f>
        <v>1</v>
      </c>
      <c r="H36" s="555">
        <f t="shared" ref="H36:I36" si="4">$D$23</f>
        <v>1</v>
      </c>
      <c r="I36" s="559">
        <f t="shared" si="4"/>
        <v>1</v>
      </c>
      <c r="J36" s="556">
        <f>$E$23</f>
        <v>1.22</v>
      </c>
    </row>
    <row r="37" spans="2:10" s="97" customFormat="1" x14ac:dyDescent="0.25">
      <c r="B37" s="393" t="s">
        <v>372</v>
      </c>
      <c r="C37" s="696">
        <f>IF(C36=1,0,$C$16*$D$31)</f>
        <v>3058938.6090598479</v>
      </c>
      <c r="D37" s="697">
        <f>IF(D36=1,0,$C$16*$D$31)</f>
        <v>3058938.6090598479</v>
      </c>
      <c r="E37" s="697">
        <f t="shared" ref="E37:J37" si="5">IF(E36=1,0,$C$16*$D$31)</f>
        <v>3058938.6090598479</v>
      </c>
      <c r="F37" s="698">
        <f t="shared" si="5"/>
        <v>3058938.6090598479</v>
      </c>
      <c r="G37" s="697">
        <f t="shared" si="5"/>
        <v>0</v>
      </c>
      <c r="H37" s="697">
        <f t="shared" si="5"/>
        <v>0</v>
      </c>
      <c r="I37" s="698">
        <f t="shared" si="5"/>
        <v>0</v>
      </c>
      <c r="J37" s="699">
        <f t="shared" si="5"/>
        <v>3058938.6090598479</v>
      </c>
    </row>
    <row r="38" spans="2:10" s="97" customFormat="1" x14ac:dyDescent="0.25">
      <c r="B38" s="393" t="s">
        <v>382</v>
      </c>
      <c r="C38" s="696">
        <f>C37/$C$16</f>
        <v>2039.2924060398987</v>
      </c>
      <c r="D38" s="697">
        <f>D37/$C$16</f>
        <v>2039.2924060398987</v>
      </c>
      <c r="E38" s="697">
        <f t="shared" ref="E38:J38" si="6">E37/$C$16</f>
        <v>2039.2924060398987</v>
      </c>
      <c r="F38" s="698">
        <f t="shared" si="6"/>
        <v>2039.2924060398987</v>
      </c>
      <c r="G38" s="697">
        <f t="shared" si="6"/>
        <v>0</v>
      </c>
      <c r="H38" s="697">
        <f t="shared" si="6"/>
        <v>0</v>
      </c>
      <c r="I38" s="698">
        <f t="shared" si="6"/>
        <v>0</v>
      </c>
      <c r="J38" s="699">
        <f t="shared" si="6"/>
        <v>2039.2924060398987</v>
      </c>
    </row>
    <row r="39" spans="2:10" s="97" customFormat="1" ht="15.75" thickBot="1" x14ac:dyDescent="0.3">
      <c r="B39" s="686" t="s">
        <v>374</v>
      </c>
      <c r="C39" s="700">
        <f>C38/365</f>
        <v>5.5871024823010922</v>
      </c>
      <c r="D39" s="701">
        <f>D38/365</f>
        <v>5.5871024823010922</v>
      </c>
      <c r="E39" s="701">
        <f t="shared" ref="E39:J39" si="7">E38/365</f>
        <v>5.5871024823010922</v>
      </c>
      <c r="F39" s="702">
        <f t="shared" si="7"/>
        <v>5.5871024823010922</v>
      </c>
      <c r="G39" s="701">
        <f t="shared" si="7"/>
        <v>0</v>
      </c>
      <c r="H39" s="701">
        <f t="shared" si="7"/>
        <v>0</v>
      </c>
      <c r="I39" s="702">
        <f t="shared" si="7"/>
        <v>0</v>
      </c>
      <c r="J39" s="703">
        <f t="shared" si="7"/>
        <v>5.5871024823010922</v>
      </c>
    </row>
    <row r="40" spans="2:10" s="97" customFormat="1" x14ac:dyDescent="0.25">
      <c r="B40" s="549"/>
      <c r="C40" s="509"/>
      <c r="D40" s="509"/>
      <c r="E40" s="509"/>
      <c r="F40" s="509"/>
      <c r="G40" s="509"/>
      <c r="H40" s="509"/>
      <c r="I40" s="509"/>
      <c r="J40" s="509"/>
    </row>
    <row r="41" spans="2:10" s="97" customFormat="1" x14ac:dyDescent="0.25">
      <c r="B41" s="549"/>
      <c r="C41" s="509"/>
      <c r="D41" s="509"/>
      <c r="E41" s="509"/>
      <c r="F41" s="509"/>
      <c r="G41" s="509"/>
      <c r="H41" s="509"/>
      <c r="I41" s="509"/>
      <c r="J41" s="509"/>
    </row>
    <row r="42" spans="2:10" s="97" customFormat="1" x14ac:dyDescent="0.25">
      <c r="B42" s="549"/>
      <c r="C42" s="509"/>
      <c r="D42" s="509"/>
      <c r="E42" s="509"/>
      <c r="F42" s="509"/>
      <c r="G42" s="509"/>
      <c r="H42" s="509"/>
      <c r="I42" s="509"/>
      <c r="J42" s="509"/>
    </row>
    <row r="43" spans="2:10" s="97" customFormat="1" x14ac:dyDescent="0.25">
      <c r="B43" s="549"/>
      <c r="C43" s="509"/>
      <c r="D43" s="365"/>
      <c r="E43" s="365"/>
      <c r="F43" s="365"/>
      <c r="G43" s="365"/>
      <c r="H43" s="365"/>
      <c r="I43" s="365"/>
      <c r="J43" s="365"/>
    </row>
    <row r="44" spans="2:10" s="97" customFormat="1" x14ac:dyDescent="0.25">
      <c r="B44" s="509"/>
      <c r="C44" s="509"/>
      <c r="D44" s="365"/>
      <c r="E44" s="365"/>
      <c r="F44" s="365"/>
      <c r="G44" s="365"/>
      <c r="H44" s="365"/>
      <c r="I44" s="365"/>
      <c r="J44" s="365"/>
    </row>
    <row r="45" spans="2:10" s="97" customFormat="1" x14ac:dyDescent="0.25">
      <c r="B45" s="550"/>
      <c r="C45" s="509"/>
      <c r="D45" s="365"/>
      <c r="E45" s="365"/>
      <c r="F45" s="365"/>
      <c r="G45" s="365"/>
      <c r="H45" s="365"/>
      <c r="I45" s="365"/>
      <c r="J45" s="365"/>
    </row>
    <row r="46" spans="2:10" s="97" customFormat="1" x14ac:dyDescent="0.25">
      <c r="B46" s="550"/>
      <c r="C46" s="509"/>
      <c r="D46" s="365"/>
      <c r="E46" s="365"/>
      <c r="F46" s="365"/>
      <c r="G46" s="365"/>
      <c r="H46" s="365"/>
      <c r="I46" s="365"/>
      <c r="J46" s="365"/>
    </row>
    <row r="47" spans="2:10" s="97" customFormat="1" x14ac:dyDescent="0.25">
      <c r="B47" s="550"/>
      <c r="C47" s="509"/>
      <c r="D47" s="551"/>
      <c r="E47" s="551"/>
      <c r="F47" s="551"/>
      <c r="G47" s="551"/>
      <c r="H47" s="551"/>
      <c r="I47" s="551"/>
      <c r="J47" s="551"/>
    </row>
    <row r="48" spans="2:10" s="97" customFormat="1" x14ac:dyDescent="0.25">
      <c r="B48" s="552"/>
      <c r="C48" s="553"/>
      <c r="D48" s="553"/>
      <c r="E48" s="553"/>
      <c r="F48" s="553"/>
      <c r="G48" s="553"/>
      <c r="H48" s="553"/>
      <c r="I48" s="553"/>
      <c r="J48" s="553"/>
    </row>
    <row r="49" spans="2:10" s="97" customFormat="1" x14ac:dyDescent="0.25">
      <c r="B49" s="552"/>
      <c r="C49" s="553"/>
      <c r="D49" s="553"/>
      <c r="E49" s="553"/>
      <c r="F49" s="553"/>
      <c r="G49" s="553"/>
      <c r="H49" s="553"/>
      <c r="I49" s="553"/>
      <c r="J49" s="553"/>
    </row>
    <row r="50" spans="2:10" x14ac:dyDescent="0.25">
      <c r="B50" s="552"/>
      <c r="C50" s="553"/>
      <c r="D50" s="553"/>
      <c r="E50" s="553"/>
      <c r="F50" s="553"/>
      <c r="G50" s="553"/>
      <c r="H50" s="553"/>
      <c r="I50" s="553"/>
      <c r="J50" s="553"/>
    </row>
    <row r="51" spans="2:10" x14ac:dyDescent="0.25">
      <c r="B51" s="220"/>
      <c r="C51" s="287"/>
      <c r="D51" s="287"/>
      <c r="E51" s="287"/>
      <c r="F51" s="287"/>
      <c r="G51" s="287"/>
      <c r="H51" s="287"/>
      <c r="I51" s="287"/>
      <c r="J51" s="287"/>
    </row>
  </sheetData>
  <sheetProtection algorithmName="SHA-512" hashValue="VBSZLTwf5uNitdfn3XayrNzWG4kndM/a+KOWtVqbVnr8+NkESAzTQNL+ocWkpYzLqupMgaW8E6dtxZz/LvSiIw==" saltValue="cZypUqMNa9DLoavbhcWKEw==" spinCount="100000" sheet="1" objects="1" scenarios="1"/>
  <mergeCells count="15">
    <mergeCell ref="J34:J35"/>
    <mergeCell ref="B34:B35"/>
    <mergeCell ref="C34:C35"/>
    <mergeCell ref="D34:F34"/>
    <mergeCell ref="G34:I34"/>
    <mergeCell ref="B2:B3"/>
    <mergeCell ref="C2:C3"/>
    <mergeCell ref="D2:F2"/>
    <mergeCell ref="G2:I2"/>
    <mergeCell ref="J2:J3"/>
    <mergeCell ref="B9:B10"/>
    <mergeCell ref="C9:C10"/>
    <mergeCell ref="D9:F9"/>
    <mergeCell ref="G9:I9"/>
    <mergeCell ref="J9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63"/>
  <sheetViews>
    <sheetView workbookViewId="0">
      <selection activeCell="E15" sqref="E15"/>
    </sheetView>
  </sheetViews>
  <sheetFormatPr defaultRowHeight="15" x14ac:dyDescent="0.25"/>
  <cols>
    <col min="1" max="1" width="7.28515625" style="287" customWidth="1"/>
    <col min="2" max="2" width="39.85546875" style="287" customWidth="1"/>
    <col min="3" max="3" width="15.42578125" style="287" customWidth="1"/>
    <col min="4" max="4" width="14.85546875" style="287" customWidth="1"/>
    <col min="5" max="5" width="18.42578125" style="287" customWidth="1"/>
    <col min="6" max="7" width="14.85546875" style="287" customWidth="1"/>
    <col min="8" max="8" width="14.85546875" style="220" customWidth="1"/>
    <col min="9" max="10" width="14.85546875" style="287" customWidth="1"/>
    <col min="11" max="11" width="16.85546875" style="287" bestFit="1" customWidth="1"/>
    <col min="12" max="16384" width="9.140625" style="287"/>
  </cols>
  <sheetData>
    <row r="1" spans="2:10" ht="15.75" thickBot="1" x14ac:dyDescent="0.3">
      <c r="B1" s="153" t="s">
        <v>226</v>
      </c>
    </row>
    <row r="2" spans="2:10" x14ac:dyDescent="0.25">
      <c r="B2" s="853" t="s">
        <v>322</v>
      </c>
      <c r="C2" s="855" t="s">
        <v>10</v>
      </c>
      <c r="D2" s="857" t="s">
        <v>1</v>
      </c>
      <c r="E2" s="858"/>
      <c r="F2" s="859"/>
      <c r="G2" s="857" t="s">
        <v>99</v>
      </c>
      <c r="H2" s="858"/>
      <c r="I2" s="859"/>
      <c r="J2" s="861" t="s">
        <v>112</v>
      </c>
    </row>
    <row r="3" spans="2:10" ht="15.75" thickBot="1" x14ac:dyDescent="0.3">
      <c r="B3" s="854"/>
      <c r="C3" s="856"/>
      <c r="D3" s="288" t="s">
        <v>86</v>
      </c>
      <c r="E3" s="289" t="s">
        <v>87</v>
      </c>
      <c r="F3" s="290" t="s">
        <v>112</v>
      </c>
      <c r="G3" s="288" t="s">
        <v>86</v>
      </c>
      <c r="H3" s="289" t="s">
        <v>87</v>
      </c>
      <c r="I3" s="290" t="s">
        <v>112</v>
      </c>
      <c r="J3" s="862"/>
    </row>
    <row r="4" spans="2:10" x14ac:dyDescent="0.25">
      <c r="B4" s="735" t="s">
        <v>424</v>
      </c>
      <c r="C4" s="645"/>
      <c r="D4" s="515">
        <f>'A. Építés'!D$49</f>
        <v>0</v>
      </c>
      <c r="E4" s="515">
        <f>'A. Építés'!E$49</f>
        <v>1</v>
      </c>
      <c r="F4" s="516">
        <f>'A. Építés'!F$49</f>
        <v>1</v>
      </c>
      <c r="G4" s="515">
        <f>'A. Építés'!G$49</f>
        <v>0</v>
      </c>
      <c r="H4" s="515">
        <f>'A. Építés'!H$49</f>
        <v>2</v>
      </c>
      <c r="I4" s="516">
        <f>'A. Építés'!I$49</f>
        <v>1</v>
      </c>
      <c r="J4" s="517">
        <f>'A. Építés'!J$49</f>
        <v>1</v>
      </c>
    </row>
    <row r="5" spans="2:10" x14ac:dyDescent="0.25">
      <c r="B5" s="736" t="s">
        <v>435</v>
      </c>
      <c r="C5" s="737">
        <f>C60</f>
        <v>1.44</v>
      </c>
      <c r="D5" s="738">
        <f>($C$38+Fogvatartottak_számának_növekedése)/($C$42+'A. Építés'!D50+'A. Építés'!D73)</f>
        <v>1.5604447974583002</v>
      </c>
      <c r="E5" s="738">
        <f>($C$38+Fogvatartottak_számának_növekedése)/($C$42+'A. Építés'!E50+'A. Építés'!E73)</f>
        <v>1.4447712898955729</v>
      </c>
      <c r="F5" s="739">
        <f>($C$38+Fogvatartottak_számának_növekedése)/($C$42+'A. Építés'!F50+'A. Építés'!F73)</f>
        <v>1.4296317857662639</v>
      </c>
      <c r="G5" s="738">
        <f>($C$38+Fogvatartottak_számának_növekedése)/($C$42+'A. Építés'!G50+'A. Építés'!G73)</f>
        <v>1.3943222143364089</v>
      </c>
      <c r="H5" s="738">
        <f>($C$38+Fogvatartottak_számának_növekedése)/($C$42+'A. Építés'!H50+'A. Építés'!H73)</f>
        <v>1.3963041933191187</v>
      </c>
      <c r="I5" s="739">
        <f>($C$38+Fogvatartottak_számának_növekedése)/($C$42+'A. Építés'!I50+'A. Építés'!I73)</f>
        <v>1.3943222143364089</v>
      </c>
      <c r="J5" s="740">
        <f>($C$38+Fogvatartottak_számának_növekedése)/($C$42+'A. Építés'!J50+'A. Építés'!J73)</f>
        <v>1.3952134081386265</v>
      </c>
    </row>
    <row r="6" spans="2:10" x14ac:dyDescent="0.25">
      <c r="B6" s="291" t="s">
        <v>94</v>
      </c>
      <c r="C6" s="529"/>
      <c r="D6" s="515">
        <f>'A. Építés'!D5</f>
        <v>0</v>
      </c>
      <c r="E6" s="515">
        <f>'A. Építés'!E5</f>
        <v>373884.8658931586</v>
      </c>
      <c r="F6" s="516">
        <f>'A. Építés'!F5</f>
        <v>314477.84596567025</v>
      </c>
      <c r="G6" s="515">
        <f>'A. Építés'!G5</f>
        <v>103282.32387266666</v>
      </c>
      <c r="H6" s="515">
        <f>'A. Építés'!H5</f>
        <v>1504249.970239301</v>
      </c>
      <c r="I6" s="516">
        <f>'A. Építés'!I5</f>
        <v>373087.8346128703</v>
      </c>
      <c r="J6" s="517">
        <f>'A. Építés'!J5</f>
        <v>326774.68246787565</v>
      </c>
    </row>
    <row r="7" spans="2:10" x14ac:dyDescent="0.25">
      <c r="B7" s="291" t="s">
        <v>96</v>
      </c>
      <c r="C7" s="530">
        <f>'B. Intézetek karbantartása'!C5</f>
        <v>28150.135215837232</v>
      </c>
      <c r="D7" s="515">
        <f>'B. Intézetek karbantartása'!D5</f>
        <v>0</v>
      </c>
      <c r="E7" s="515">
        <f>'B. Intézetek karbantartása'!E5</f>
        <v>18353.618451706665</v>
      </c>
      <c r="F7" s="516">
        <f>'B. Intézetek karbantartása'!F5</f>
        <v>23287.874912506672</v>
      </c>
      <c r="G7" s="515">
        <f>'B. Intézetek karbantartása'!G5</f>
        <v>0</v>
      </c>
      <c r="H7" s="515">
        <f>'B. Intézetek karbantartása'!H5</f>
        <v>460344.10762432875</v>
      </c>
      <c r="I7" s="516">
        <f>'B. Intézetek karbantartása'!I5</f>
        <v>227124.4362946442</v>
      </c>
      <c r="J7" s="517">
        <f>'B. Intézetek karbantartása'!J5</f>
        <v>349064.19512496545</v>
      </c>
    </row>
    <row r="8" spans="2:10" x14ac:dyDescent="0.25">
      <c r="B8" s="291" t="s">
        <v>97</v>
      </c>
      <c r="C8" s="530">
        <f>'C. Üzemeltetés (rezsi)'!C5</f>
        <v>149527.67717403284</v>
      </c>
      <c r="D8" s="515">
        <f>'C. Üzemeltetés (rezsi)'!D5</f>
        <v>0</v>
      </c>
      <c r="E8" s="515">
        <f>'C. Üzemeltetés (rezsi)'!E5</f>
        <v>119993.74228573024</v>
      </c>
      <c r="F8" s="516">
        <f>'C. Üzemeltetés (rezsi)'!F5</f>
        <v>134446.42040312025</v>
      </c>
      <c r="G8" s="515">
        <f>'C. Üzemeltetés (rezsi)'!G5</f>
        <v>216790.1717608505</v>
      </c>
      <c r="H8" s="515">
        <f>'C. Üzemeltetés (rezsi)'!H5</f>
        <v>251549.62706537251</v>
      </c>
      <c r="I8" s="516">
        <f>'C. Üzemeltetés (rezsi)'!I5</f>
        <v>235615.16722485051</v>
      </c>
      <c r="J8" s="517">
        <f>'C. Üzemeltetés (rezsi)'!J5</f>
        <v>208877.71270767893</v>
      </c>
    </row>
    <row r="9" spans="2:10" x14ac:dyDescent="0.25">
      <c r="B9" s="291" t="s">
        <v>5</v>
      </c>
      <c r="C9" s="523">
        <f>'D. Személyzet'!C5</f>
        <v>916229.99371762376</v>
      </c>
      <c r="D9" s="515">
        <f>'D. Személyzet'!D5</f>
        <v>0</v>
      </c>
      <c r="E9" s="515">
        <f>'D. Személyzet'!E5</f>
        <v>735936.78205866669</v>
      </c>
      <c r="F9" s="516">
        <f>'D. Személyzet'!F5</f>
        <v>830132.1868635898</v>
      </c>
      <c r="G9" s="515">
        <f>'D. Személyzet'!G5</f>
        <v>986647.78</v>
      </c>
      <c r="H9" s="515">
        <f>'D. Személyzet'!H5</f>
        <v>1131939.8644533334</v>
      </c>
      <c r="I9" s="516">
        <f>'D. Személyzet'!I5</f>
        <v>1059158.3335897436</v>
      </c>
      <c r="J9" s="517">
        <f>'D. Személyzet'!J5</f>
        <v>1059141.2492082049</v>
      </c>
    </row>
    <row r="10" spans="2:10" x14ac:dyDescent="0.25">
      <c r="B10" s="291" t="s">
        <v>6</v>
      </c>
      <c r="C10" s="523">
        <f>'E. Dologi költség'!C5</f>
        <v>100878.14027884933</v>
      </c>
      <c r="D10" s="515">
        <f>'E. Dologi költség'!D5</f>
        <v>94895.584772583185</v>
      </c>
      <c r="E10" s="515">
        <f>'E. Dologi költség'!E5</f>
        <v>122162.4851955168</v>
      </c>
      <c r="F10" s="516">
        <f>'E. Dologi költség'!F5</f>
        <v>100226.24103057809</v>
      </c>
      <c r="G10" s="515">
        <f>'E. Dologi költség'!G5</f>
        <v>131247.93577595058</v>
      </c>
      <c r="H10" s="515">
        <f>'E. Dologi költség'!H5</f>
        <v>184100.23965663309</v>
      </c>
      <c r="I10" s="516">
        <f>'E. Dologi költség'!I5</f>
        <v>135606.02903368001</v>
      </c>
      <c r="J10" s="517">
        <f>'E. Dologi költség'!J5</f>
        <v>116783.06481154448</v>
      </c>
    </row>
    <row r="11" spans="2:10" x14ac:dyDescent="0.25">
      <c r="B11" s="291" t="s">
        <v>95</v>
      </c>
      <c r="C11" s="523">
        <f>'F. Élelmezés'!C$5</f>
        <v>143987.74403890665</v>
      </c>
      <c r="D11" s="515">
        <f>'F. Élelmezés'!D$5</f>
        <v>143987.74403890665</v>
      </c>
      <c r="E11" s="515">
        <f>'F. Élelmezés'!E$5</f>
        <v>219000</v>
      </c>
      <c r="F11" s="516">
        <f>'F. Élelmezés'!F$5</f>
        <v>146000</v>
      </c>
      <c r="G11" s="515">
        <f>'F. Élelmezés'!G$5</f>
        <v>143987.74403890665</v>
      </c>
      <c r="H11" s="515">
        <f>'F. Élelmezés'!H$5</f>
        <v>219000</v>
      </c>
      <c r="I11" s="516">
        <f>'F. Élelmezés'!I$5</f>
        <v>146000</v>
      </c>
      <c r="J11" s="517">
        <f>'F. Élelmezés'!J$5</f>
        <v>146000</v>
      </c>
    </row>
    <row r="12" spans="2:10" x14ac:dyDescent="0.25">
      <c r="B12" s="291" t="s">
        <v>434</v>
      </c>
      <c r="C12" s="523">
        <f>'H. Foglalkoztatás'!$C$5</f>
        <v>-34350.115727984128</v>
      </c>
      <c r="D12" s="515">
        <f>'H. Foglalkoztatás'!D5</f>
        <v>0</v>
      </c>
      <c r="E12" s="515">
        <f>'H. Foglalkoztatás'!E5</f>
        <v>32523.125813148788</v>
      </c>
      <c r="F12" s="516">
        <f>'H. Foglalkoztatás'!F5</f>
        <v>37169.286643598614</v>
      </c>
      <c r="G12" s="515">
        <f>'H. Foglalkoztatás'!G5</f>
        <v>-272823.71752165223</v>
      </c>
      <c r="H12" s="515">
        <f>'H. Foglalkoztatás'!H5</f>
        <v>766893.19062462251</v>
      </c>
      <c r="I12" s="516">
        <f>'H. Foglalkoztatás'!I5</f>
        <v>-28423.695600036997</v>
      </c>
      <c r="J12" s="517">
        <f>'H. Foglalkoztatás'!J5</f>
        <v>-4962.5811053492771</v>
      </c>
    </row>
    <row r="13" spans="2:10" x14ac:dyDescent="0.25">
      <c r="B13" s="291" t="s">
        <v>98</v>
      </c>
      <c r="C13" s="523">
        <f>'G. Eü. kiadások'!C5</f>
        <v>13082.978948528602</v>
      </c>
      <c r="D13" s="515">
        <f>'G. Eü. kiadások'!D5</f>
        <v>13082.978948528602</v>
      </c>
      <c r="E13" s="515">
        <f>'G. Eü. kiadások'!E5</f>
        <v>13082.978948528602</v>
      </c>
      <c r="F13" s="516">
        <f>'G. Eü. kiadások'!F5</f>
        <v>13082.978948528602</v>
      </c>
      <c r="G13" s="515">
        <f>'G. Eü. kiadások'!G5</f>
        <v>13082.978948528602</v>
      </c>
      <c r="H13" s="515">
        <f>'G. Eü. kiadások'!H5</f>
        <v>13082.978948528602</v>
      </c>
      <c r="I13" s="516">
        <f>'G. Eü. kiadások'!I5</f>
        <v>13082.978948528602</v>
      </c>
      <c r="J13" s="517">
        <f>'G. Eü. kiadások'!J5</f>
        <v>13082.978948528602</v>
      </c>
    </row>
    <row r="14" spans="2:10" x14ac:dyDescent="0.25">
      <c r="B14" s="291" t="s">
        <v>12</v>
      </c>
      <c r="C14" s="523">
        <v>2039</v>
      </c>
      <c r="D14" s="515">
        <f>'I. Perköltség'!D5</f>
        <v>2039.2924060398987</v>
      </c>
      <c r="E14" s="515">
        <f>'I. Perköltség'!E5</f>
        <v>2039.2924060398987</v>
      </c>
      <c r="F14" s="516">
        <f>'I. Perköltség'!F5</f>
        <v>2039.2924060398987</v>
      </c>
      <c r="G14" s="515">
        <f>'I. Perköltség'!G5</f>
        <v>0</v>
      </c>
      <c r="H14" s="515">
        <f>'I. Perköltség'!H5</f>
        <v>0</v>
      </c>
      <c r="I14" s="516">
        <f>'I. Perköltség'!I5</f>
        <v>0</v>
      </c>
      <c r="J14" s="517">
        <f>'I. Perköltség'!J5</f>
        <v>2039.2924060398987</v>
      </c>
    </row>
    <row r="15" spans="2:10" s="293" customFormat="1" ht="15.75" thickBot="1" x14ac:dyDescent="0.3">
      <c r="B15" s="294" t="s">
        <v>7</v>
      </c>
      <c r="C15" s="531">
        <f t="shared" ref="C15:J15" si="0">SUM(C6:C14)</f>
        <v>1319545.5536457943</v>
      </c>
      <c r="D15" s="532">
        <f t="shared" si="0"/>
        <v>254005.60016605834</v>
      </c>
      <c r="E15" s="532">
        <f t="shared" si="0"/>
        <v>1636976.8910524964</v>
      </c>
      <c r="F15" s="533">
        <f t="shared" si="0"/>
        <v>1600862.1271736324</v>
      </c>
      <c r="G15" s="532">
        <f t="shared" si="0"/>
        <v>1322215.2168752507</v>
      </c>
      <c r="H15" s="532">
        <f t="shared" si="0"/>
        <v>4531159.9786121203</v>
      </c>
      <c r="I15" s="533">
        <f t="shared" si="0"/>
        <v>2161251.08410428</v>
      </c>
      <c r="J15" s="534">
        <f t="shared" si="0"/>
        <v>2216800.5945694884</v>
      </c>
    </row>
    <row r="16" spans="2:10" s="293" customFormat="1" x14ac:dyDescent="0.25">
      <c r="B16" s="298"/>
      <c r="C16" s="662"/>
      <c r="D16" s="663"/>
      <c r="E16" s="663"/>
      <c r="F16" s="664"/>
      <c r="G16" s="663"/>
      <c r="H16" s="663"/>
      <c r="I16" s="663"/>
      <c r="J16" s="663"/>
    </row>
    <row r="17" spans="1:10" ht="15.75" thickBot="1" x14ac:dyDescent="0.3">
      <c r="B17" s="293" t="s">
        <v>118</v>
      </c>
      <c r="H17" s="287"/>
      <c r="I17" s="220"/>
    </row>
    <row r="18" spans="1:10" x14ac:dyDescent="0.25">
      <c r="B18" s="853" t="s">
        <v>322</v>
      </c>
      <c r="C18" s="855" t="s">
        <v>10</v>
      </c>
      <c r="D18" s="857" t="s">
        <v>1</v>
      </c>
      <c r="E18" s="858"/>
      <c r="F18" s="859"/>
      <c r="G18" s="857" t="s">
        <v>99</v>
      </c>
      <c r="H18" s="858"/>
      <c r="I18" s="859"/>
      <c r="J18" s="861" t="s">
        <v>112</v>
      </c>
    </row>
    <row r="19" spans="1:10" ht="15.75" thickBot="1" x14ac:dyDescent="0.3">
      <c r="B19" s="854"/>
      <c r="C19" s="856"/>
      <c r="D19" s="288" t="s">
        <v>86</v>
      </c>
      <c r="E19" s="289" t="s">
        <v>87</v>
      </c>
      <c r="F19" s="290" t="s">
        <v>112</v>
      </c>
      <c r="G19" s="288" t="s">
        <v>86</v>
      </c>
      <c r="H19" s="289" t="s">
        <v>87</v>
      </c>
      <c r="I19" s="290" t="s">
        <v>112</v>
      </c>
      <c r="J19" s="862"/>
    </row>
    <row r="20" spans="1:10" x14ac:dyDescent="0.25">
      <c r="B20" s="654" t="s">
        <v>424</v>
      </c>
      <c r="C20" s="655"/>
      <c r="D20" s="656">
        <f>'A. Építés'!D$49</f>
        <v>0</v>
      </c>
      <c r="E20" s="656">
        <f>'A. Építés'!E$49</f>
        <v>1</v>
      </c>
      <c r="F20" s="657">
        <f>'A. Építés'!F$49</f>
        <v>1</v>
      </c>
      <c r="G20" s="656">
        <f>'A. Építés'!G$49</f>
        <v>0</v>
      </c>
      <c r="H20" s="656">
        <f>'A. Építés'!H$49</f>
        <v>2</v>
      </c>
      <c r="I20" s="657">
        <f>'A. Építés'!I$49</f>
        <v>1</v>
      </c>
      <c r="J20" s="658">
        <f>'A. Építés'!J$49</f>
        <v>1</v>
      </c>
    </row>
    <row r="21" spans="1:10" x14ac:dyDescent="0.25">
      <c r="B21" s="291" t="s">
        <v>94</v>
      </c>
      <c r="C21" s="529"/>
      <c r="D21" s="193"/>
      <c r="E21" s="193"/>
      <c r="F21" s="194"/>
      <c r="G21" s="193"/>
      <c r="H21" s="193"/>
      <c r="I21" s="194"/>
      <c r="J21" s="196"/>
    </row>
    <row r="22" spans="1:10" x14ac:dyDescent="0.25">
      <c r="B22" s="291" t="s">
        <v>96</v>
      </c>
      <c r="C22" s="292"/>
      <c r="D22" s="193"/>
      <c r="E22" s="193"/>
      <c r="F22" s="194"/>
      <c r="G22" s="193"/>
      <c r="H22" s="193"/>
      <c r="I22" s="194"/>
      <c r="J22" s="196"/>
    </row>
    <row r="23" spans="1:10" x14ac:dyDescent="0.25">
      <c r="B23" s="291" t="s">
        <v>97</v>
      </c>
      <c r="C23" s="292"/>
      <c r="D23" s="193"/>
      <c r="E23" s="193"/>
      <c r="F23" s="194"/>
      <c r="G23" s="193"/>
      <c r="H23" s="193"/>
      <c r="I23" s="194"/>
      <c r="J23" s="196"/>
    </row>
    <row r="24" spans="1:10" x14ac:dyDescent="0.25">
      <c r="B24" s="291" t="s">
        <v>5</v>
      </c>
      <c r="C24" s="292"/>
      <c r="D24" s="193">
        <f>'D. Személyzet'!D12</f>
        <v>0</v>
      </c>
      <c r="E24" s="193">
        <f>'D. Személyzet'!E12</f>
        <v>674084.30369230779</v>
      </c>
      <c r="F24" s="194">
        <f>'D. Személyzet'!F12</f>
        <v>580682.55901487172</v>
      </c>
      <c r="G24" s="193">
        <f>'D. Személyzet'!G12</f>
        <v>894852.39015384612</v>
      </c>
      <c r="H24" s="193">
        <f>'D. Személyzet'!H12</f>
        <v>1693747.6998769231</v>
      </c>
      <c r="I24" s="194">
        <f>'D. Személyzet'!I12</f>
        <v>1293123.8362456411</v>
      </c>
      <c r="J24" s="196">
        <f>'D. Személyzet'!J12</f>
        <v>887367.75216871791</v>
      </c>
    </row>
    <row r="25" spans="1:10" x14ac:dyDescent="0.25">
      <c r="B25" s="291" t="s">
        <v>6</v>
      </c>
      <c r="C25" s="292"/>
      <c r="D25" s="193"/>
      <c r="E25" s="193"/>
      <c r="F25" s="194"/>
      <c r="G25" s="193"/>
      <c r="H25" s="193"/>
      <c r="I25" s="194"/>
      <c r="J25" s="196"/>
    </row>
    <row r="26" spans="1:10" x14ac:dyDescent="0.25">
      <c r="B26" s="291" t="s">
        <v>95</v>
      </c>
      <c r="C26" s="292"/>
      <c r="D26" s="193"/>
      <c r="E26" s="193"/>
      <c r="F26" s="194"/>
      <c r="G26" s="193"/>
      <c r="H26" s="193"/>
      <c r="I26" s="194"/>
      <c r="J26" s="196"/>
    </row>
    <row r="27" spans="1:10" x14ac:dyDescent="0.25">
      <c r="B27" s="291" t="s">
        <v>434</v>
      </c>
      <c r="C27" s="292"/>
      <c r="D27" s="193"/>
      <c r="E27" s="193"/>
      <c r="F27" s="194"/>
      <c r="G27" s="193"/>
      <c r="H27" s="193"/>
      <c r="I27" s="194"/>
      <c r="J27" s="196"/>
    </row>
    <row r="28" spans="1:10" x14ac:dyDescent="0.25">
      <c r="A28" s="299"/>
      <c r="B28" s="291" t="s">
        <v>98</v>
      </c>
      <c r="C28" s="292"/>
      <c r="D28" s="193"/>
      <c r="E28" s="193"/>
      <c r="F28" s="194"/>
      <c r="G28" s="193"/>
      <c r="H28" s="193"/>
      <c r="I28" s="194"/>
      <c r="J28" s="196"/>
    </row>
    <row r="29" spans="1:10" x14ac:dyDescent="0.25">
      <c r="B29" s="291" t="s">
        <v>12</v>
      </c>
      <c r="C29" s="292"/>
      <c r="D29" s="193"/>
      <c r="E29" s="193"/>
      <c r="F29" s="194"/>
      <c r="G29" s="193"/>
      <c r="H29" s="193"/>
      <c r="I29" s="194"/>
      <c r="J29" s="196"/>
    </row>
    <row r="30" spans="1:10" ht="15.75" thickBot="1" x14ac:dyDescent="0.3">
      <c r="B30" s="294" t="s">
        <v>7</v>
      </c>
      <c r="C30" s="301"/>
      <c r="D30" s="295"/>
      <c r="E30" s="295"/>
      <c r="F30" s="296"/>
      <c r="G30" s="295"/>
      <c r="H30" s="295"/>
      <c r="I30" s="296"/>
      <c r="J30" s="297"/>
    </row>
    <row r="32" spans="1:10" ht="15.75" thickBot="1" x14ac:dyDescent="0.3">
      <c r="B32" s="76" t="s">
        <v>56</v>
      </c>
      <c r="C32" s="88"/>
    </row>
    <row r="33" spans="2:8" ht="15.75" thickBot="1" x14ac:dyDescent="0.3">
      <c r="B33" s="87" t="s">
        <v>11</v>
      </c>
      <c r="C33" s="659">
        <v>1500</v>
      </c>
    </row>
    <row r="35" spans="2:8" x14ac:dyDescent="0.25">
      <c r="B35" s="302" t="s">
        <v>228</v>
      </c>
      <c r="C35" s="303"/>
      <c r="D35" s="303"/>
      <c r="E35" s="304"/>
    </row>
    <row r="36" spans="2:8" x14ac:dyDescent="0.25">
      <c r="B36" s="305" t="s">
        <v>37</v>
      </c>
      <c r="C36" s="299"/>
      <c r="D36" s="299"/>
      <c r="E36" s="300"/>
      <c r="F36" s="299"/>
      <c r="H36" s="287"/>
    </row>
    <row r="37" spans="2:8" x14ac:dyDescent="0.25">
      <c r="B37" s="121" t="s">
        <v>321</v>
      </c>
      <c r="C37" s="306"/>
      <c r="D37" s="299"/>
      <c r="E37" s="300"/>
      <c r="F37" s="299"/>
      <c r="H37" s="80"/>
    </row>
    <row r="38" spans="2:8" x14ac:dyDescent="0.25">
      <c r="B38" s="307" t="s">
        <v>4</v>
      </c>
      <c r="C38" s="271">
        <v>18146</v>
      </c>
      <c r="D38" s="177"/>
      <c r="E38" s="246"/>
      <c r="F38" s="299"/>
      <c r="H38" s="287"/>
    </row>
    <row r="39" spans="2:8" ht="45" x14ac:dyDescent="0.25">
      <c r="B39" s="308" t="s">
        <v>354</v>
      </c>
      <c r="C39" s="271">
        <v>12138</v>
      </c>
      <c r="D39" s="498">
        <f>C39/C41</f>
        <v>0.7045098380637298</v>
      </c>
      <c r="E39" s="246"/>
      <c r="F39" s="299"/>
      <c r="H39" s="287"/>
    </row>
    <row r="40" spans="2:8" ht="45" x14ac:dyDescent="0.25">
      <c r="B40" s="308" t="s">
        <v>355</v>
      </c>
      <c r="C40" s="271">
        <v>5091</v>
      </c>
      <c r="D40" s="498">
        <f>C40/C41</f>
        <v>0.29549016193627026</v>
      </c>
      <c r="E40" s="246"/>
      <c r="F40" s="299"/>
      <c r="H40" s="287"/>
    </row>
    <row r="41" spans="2:8" ht="30" x14ac:dyDescent="0.25">
      <c r="B41" s="308" t="s">
        <v>323</v>
      </c>
      <c r="C41" s="271">
        <f>SUM(C39:C40)</f>
        <v>17229</v>
      </c>
      <c r="D41" s="299"/>
      <c r="E41" s="300"/>
      <c r="F41" s="299"/>
    </row>
    <row r="42" spans="2:8" x14ac:dyDescent="0.25">
      <c r="B42" s="307" t="s">
        <v>9</v>
      </c>
      <c r="C42" s="271">
        <v>12590</v>
      </c>
      <c r="D42" s="299"/>
      <c r="E42" s="300"/>
      <c r="F42" s="299"/>
    </row>
    <row r="43" spans="2:8" x14ac:dyDescent="0.25">
      <c r="B43" s="74" t="s">
        <v>266</v>
      </c>
      <c r="C43" s="271">
        <v>7712</v>
      </c>
      <c r="D43" s="299"/>
      <c r="E43" s="300"/>
      <c r="F43" s="299"/>
    </row>
    <row r="44" spans="2:8" ht="45" x14ac:dyDescent="0.25">
      <c r="B44" s="74" t="s">
        <v>356</v>
      </c>
      <c r="C44" s="271">
        <v>7240</v>
      </c>
      <c r="D44" s="498">
        <f>C44/C39</f>
        <v>0.59647388367111553</v>
      </c>
      <c r="E44" s="300"/>
      <c r="F44" s="299"/>
    </row>
    <row r="45" spans="2:8" ht="45" x14ac:dyDescent="0.25">
      <c r="B45" s="308" t="s">
        <v>352</v>
      </c>
      <c r="C45" s="271">
        <v>3488</v>
      </c>
      <c r="D45" s="498">
        <f>C45/C44</f>
        <v>0.48176795580110499</v>
      </c>
      <c r="E45" s="300"/>
      <c r="F45" s="299"/>
    </row>
    <row r="46" spans="2:8" ht="45" x14ac:dyDescent="0.25">
      <c r="B46" s="308" t="s">
        <v>353</v>
      </c>
      <c r="C46" s="271">
        <v>3752</v>
      </c>
      <c r="D46" s="498">
        <f>C46/C44</f>
        <v>0.51823204419889501</v>
      </c>
      <c r="E46" s="300"/>
      <c r="F46" s="299"/>
    </row>
    <row r="47" spans="2:8" ht="30" x14ac:dyDescent="0.25">
      <c r="B47" s="499" t="s">
        <v>357</v>
      </c>
      <c r="C47" s="271"/>
      <c r="D47" s="498">
        <v>0.1</v>
      </c>
      <c r="E47" s="300"/>
      <c r="F47" s="299"/>
    </row>
    <row r="48" spans="2:8" x14ac:dyDescent="0.25">
      <c r="B48" s="414"/>
      <c r="C48" s="485"/>
      <c r="D48" s="299"/>
      <c r="E48" s="300"/>
      <c r="F48" s="299"/>
    </row>
    <row r="49" spans="2:11" x14ac:dyDescent="0.25">
      <c r="B49" s="121" t="s">
        <v>280</v>
      </c>
      <c r="C49" s="349"/>
      <c r="D49" s="299"/>
      <c r="E49" s="300"/>
      <c r="F49" s="299"/>
    </row>
    <row r="50" spans="2:11" x14ac:dyDescent="0.25">
      <c r="B50" s="307" t="s">
        <v>116</v>
      </c>
      <c r="C50" s="276">
        <v>1.3335914494188683</v>
      </c>
      <c r="D50" s="299"/>
      <c r="E50" s="300"/>
      <c r="F50" s="299"/>
    </row>
    <row r="51" spans="2:11" x14ac:dyDescent="0.25">
      <c r="B51" s="307" t="s">
        <v>117</v>
      </c>
      <c r="C51" s="276">
        <v>1.2440218744578992</v>
      </c>
      <c r="D51" s="299"/>
      <c r="E51" s="300"/>
      <c r="F51" s="299"/>
    </row>
    <row r="52" spans="2:11" x14ac:dyDescent="0.25">
      <c r="B52" s="307" t="s">
        <v>281</v>
      </c>
      <c r="C52" s="276">
        <f>1.058*1.079*1.063*1.06*1.054*1.032*1.056*1.035</f>
        <v>1.5292229894556215</v>
      </c>
      <c r="D52" s="299"/>
      <c r="E52" s="300"/>
      <c r="F52" s="299"/>
    </row>
    <row r="53" spans="2:11" x14ac:dyDescent="0.25">
      <c r="B53" s="307" t="s">
        <v>282</v>
      </c>
      <c r="C53" s="276">
        <f>1.079*1.063*1.06*1.054*1.032*1.056*1.035</f>
        <v>1.4453903492019105</v>
      </c>
      <c r="D53" s="299"/>
      <c r="E53" s="300"/>
      <c r="F53" s="299"/>
    </row>
    <row r="54" spans="2:11" x14ac:dyDescent="0.25">
      <c r="B54" s="413"/>
      <c r="C54" s="484"/>
      <c r="D54" s="299"/>
      <c r="E54" s="300"/>
      <c r="F54" s="299"/>
    </row>
    <row r="55" spans="2:11" ht="15.75" thickBot="1" x14ac:dyDescent="0.3">
      <c r="B55" s="305" t="s">
        <v>38</v>
      </c>
      <c r="C55" s="310" t="s">
        <v>54</v>
      </c>
      <c r="D55" s="310" t="s">
        <v>55</v>
      </c>
      <c r="E55" s="311" t="s">
        <v>60</v>
      </c>
      <c r="F55" s="152"/>
    </row>
    <row r="56" spans="2:11" ht="47.25" customHeight="1" x14ac:dyDescent="0.25">
      <c r="B56" s="744" t="s">
        <v>8</v>
      </c>
      <c r="C56" s="350">
        <v>1600</v>
      </c>
      <c r="D56" s="350">
        <v>700</v>
      </c>
      <c r="E56" s="741">
        <v>800</v>
      </c>
      <c r="F56" s="863" t="s">
        <v>436</v>
      </c>
      <c r="G56" s="864"/>
      <c r="H56" s="864"/>
      <c r="I56" s="864"/>
      <c r="J56" s="864"/>
    </row>
    <row r="57" spans="2:11" ht="15.75" thickBot="1" x14ac:dyDescent="0.3">
      <c r="B57" s="314" t="s">
        <v>0</v>
      </c>
      <c r="C57" s="315">
        <v>0.05</v>
      </c>
      <c r="D57" s="315">
        <v>0.08</v>
      </c>
      <c r="E57" s="660">
        <v>0.06</v>
      </c>
      <c r="F57" s="316"/>
    </row>
    <row r="58" spans="2:11" x14ac:dyDescent="0.25">
      <c r="F58" s="313"/>
    </row>
    <row r="59" spans="2:11" ht="15.75" thickBot="1" x14ac:dyDescent="0.3">
      <c r="B59" s="76" t="s">
        <v>227</v>
      </c>
      <c r="C59" s="77" t="s">
        <v>1</v>
      </c>
      <c r="D59" s="77" t="s">
        <v>99</v>
      </c>
      <c r="E59" s="78" t="s">
        <v>60</v>
      </c>
      <c r="F59" s="317"/>
    </row>
    <row r="60" spans="2:11" ht="15.75" thickBot="1" x14ac:dyDescent="0.3">
      <c r="B60" s="318" t="s">
        <v>3</v>
      </c>
      <c r="C60" s="319">
        <v>1.44</v>
      </c>
      <c r="D60" s="320">
        <v>1</v>
      </c>
      <c r="E60" s="742">
        <v>1.22</v>
      </c>
      <c r="F60" s="321"/>
    </row>
    <row r="61" spans="2:11" ht="30.75" thickBot="1" x14ac:dyDescent="0.3">
      <c r="B61" s="322" t="s">
        <v>111</v>
      </c>
      <c r="C61" s="323">
        <v>4.67</v>
      </c>
      <c r="D61" s="323">
        <f>34.24682-D60*36.56701+D60^2*10.97436</f>
        <v>8.654169999999997</v>
      </c>
      <c r="E61" s="743">
        <f t="shared" ref="E61" si="1">34.24682-E60*36.56701+E60^2*10.97436</f>
        <v>5.9693052239999957</v>
      </c>
      <c r="F61" s="313"/>
    </row>
    <row r="62" spans="2:11" ht="44.25" customHeight="1" thickBot="1" x14ac:dyDescent="0.3">
      <c r="B62" s="621" t="s">
        <v>418</v>
      </c>
      <c r="C62" s="324">
        <v>0</v>
      </c>
      <c r="D62" s="325">
        <v>1</v>
      </c>
      <c r="E62" s="742">
        <v>0.7</v>
      </c>
      <c r="F62" s="860" t="s">
        <v>358</v>
      </c>
      <c r="G62" s="860"/>
      <c r="H62" s="860"/>
      <c r="I62" s="860"/>
      <c r="J62" s="860"/>
    </row>
    <row r="63" spans="2:11" x14ac:dyDescent="0.25">
      <c r="G63" s="494"/>
      <c r="H63" s="494"/>
      <c r="I63" s="494"/>
      <c r="J63" s="494"/>
      <c r="K63" s="494"/>
    </row>
  </sheetData>
  <sheetProtection algorithmName="SHA-512" hashValue="jeoNiXse5ioI9bO8bdVEvR7DKMu+wChq1sNw08GVyquwk/mX7pQdZxsgvx/6rLMIswuZgaJ2cvFYZD27E3gn6g==" saltValue="zoWCuJ0Stc1swfu6n4j8sA==" spinCount="100000" sheet="1" objects="1" scenarios="1"/>
  <mergeCells count="12">
    <mergeCell ref="F62:J62"/>
    <mergeCell ref="G2:I2"/>
    <mergeCell ref="J2:J3"/>
    <mergeCell ref="D18:F18"/>
    <mergeCell ref="G18:I18"/>
    <mergeCell ref="J18:J19"/>
    <mergeCell ref="F56:J56"/>
    <mergeCell ref="B18:B19"/>
    <mergeCell ref="C18:C19"/>
    <mergeCell ref="C2:C3"/>
    <mergeCell ref="B2:B3"/>
    <mergeCell ref="D2:F2"/>
  </mergeCells>
  <dataValidations count="6">
    <dataValidation type="whole" operator="greaterThan" allowBlank="1" showInputMessage="1" showErrorMessage="1" errorTitle="Helytelen adat" error="Kérjük a mezőbe pozitív egész számot írjon!" promptTitle="Fogvatartottak létszámnövekedése" prompt="Adja, meg hogy mekkora fogvatartotti létszámnövekedés mellett szeretné a határköltséget kiszámolni!" sqref="C33">
      <formula1>0</formula1>
    </dataValidation>
    <dataValidation type="whole" errorStyle="warning" allowBlank="1" showInputMessage="1" showErrorMessage="1" errorTitle="Üzemméret" error="A megadott érték az alsó és felső határérték által szabott intervallumon kívül esik." promptTitle="Üzemméret" prompt="A vonatkozó irodalom alapján a bv. intézetek optimális üzemmérete 700 és 1600 között van. Lehetőleg a kettő közötti értéket adjon meg!" sqref="E56">
      <formula1>D56</formula1>
      <formula2>C56</formula2>
    </dataValidation>
    <dataValidation allowBlank="1" showInputMessage="1" showErrorMessage="1" promptTitle="Egy főre jutó zárkaterület" prompt="A változatlan szcenárióban a jelenlegi átlag, az ideálisban a most működő bv. intézetek adatpontjaira illesztett regressziós modell alapján a választott telítettséghez tartozó érték. " sqref="E61"/>
    <dataValidation type="decimal" errorStyle="warning" allowBlank="1" showInputMessage="1" showErrorMessage="1" errorTitle="Diszkontráta" error="A megadott érték az alsó és felső határérték által szabott intervallumon kívül esik." sqref="E57">
      <formula1>C57</formula1>
      <formula2>D57</formula2>
    </dataValidation>
    <dataValidation type="decimal" errorStyle="warning" allowBlank="1" showInputMessage="1" showErrorMessage="1" errorTitle="Telítettség" error="A megadott érték az alsó és felső határérték által szabott intervallumon kívül esik." sqref="E60">
      <formula1>D60</formula1>
      <formula2>C60</formula2>
    </dataValidation>
    <dataValidation type="decimal" allowBlank="1" showInputMessage="1" showErrorMessage="1" errorTitle="Foglalkoztatási arány" error="A megadott érték az alsó és felső határérték által szabott intervallumon kívül esik." sqref="E62">
      <formula1>C62</formula1>
      <formula2>D62</formula2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9" sqref="F9"/>
    </sheetView>
  </sheetViews>
  <sheetFormatPr defaultRowHeight="15" x14ac:dyDescent="0.25"/>
  <cols>
    <col min="2" max="2" width="38.5703125" style="1" customWidth="1"/>
    <col min="3" max="3" width="15.42578125" style="1" customWidth="1"/>
    <col min="4" max="4" width="14.85546875" style="1" customWidth="1"/>
    <col min="5" max="5" width="18.42578125" style="1" customWidth="1"/>
    <col min="6" max="7" width="14.85546875" style="1" customWidth="1"/>
    <col min="8" max="8" width="14.85546875" style="12" customWidth="1"/>
    <col min="9" max="10" width="14.85546875" style="1" customWidth="1"/>
  </cols>
  <sheetData>
    <row r="1" spans="1:10" ht="15.75" thickBot="1" x14ac:dyDescent="0.3">
      <c r="B1" s="30" t="s">
        <v>271</v>
      </c>
    </row>
    <row r="2" spans="1:10" ht="15" customHeight="1" x14ac:dyDescent="0.25">
      <c r="B2" s="865" t="s">
        <v>243</v>
      </c>
      <c r="C2" s="867" t="s">
        <v>10</v>
      </c>
      <c r="D2" s="869" t="s">
        <v>1</v>
      </c>
      <c r="E2" s="870"/>
      <c r="F2" s="871"/>
      <c r="G2" s="869" t="s">
        <v>99</v>
      </c>
      <c r="H2" s="870"/>
      <c r="I2" s="871"/>
      <c r="J2" s="872" t="s">
        <v>112</v>
      </c>
    </row>
    <row r="3" spans="1:10" ht="15.75" thickBot="1" x14ac:dyDescent="0.3">
      <c r="B3" s="866"/>
      <c r="C3" s="868"/>
      <c r="D3" s="197" t="s">
        <v>86</v>
      </c>
      <c r="E3" s="198" t="s">
        <v>87</v>
      </c>
      <c r="F3" s="199" t="s">
        <v>112</v>
      </c>
      <c r="G3" s="197" t="s">
        <v>86</v>
      </c>
      <c r="H3" s="198" t="s">
        <v>87</v>
      </c>
      <c r="I3" s="199" t="s">
        <v>112</v>
      </c>
      <c r="J3" s="873"/>
    </row>
    <row r="4" spans="1:10" x14ac:dyDescent="0.25">
      <c r="B4" s="654" t="s">
        <v>424</v>
      </c>
      <c r="C4" s="655"/>
      <c r="D4" s="656">
        <f>'A. Építés'!D$49</f>
        <v>0</v>
      </c>
      <c r="E4" s="656">
        <f>'A. Építés'!E$49</f>
        <v>1</v>
      </c>
      <c r="F4" s="657">
        <f>'A. Építés'!F$49</f>
        <v>1</v>
      </c>
      <c r="G4" s="656">
        <f>'A. Építés'!G$49</f>
        <v>0</v>
      </c>
      <c r="H4" s="656">
        <f>'A. Építés'!H$49</f>
        <v>2</v>
      </c>
      <c r="I4" s="657">
        <f>'A. Építés'!I$49</f>
        <v>1</v>
      </c>
      <c r="J4" s="658">
        <f>'A. Építés'!J$49</f>
        <v>1</v>
      </c>
    </row>
    <row r="5" spans="1:10" x14ac:dyDescent="0.25">
      <c r="B5" s="47" t="s">
        <v>94</v>
      </c>
      <c r="C5" s="645"/>
      <c r="D5" s="646">
        <f>'A. Építés'!D$5</f>
        <v>0</v>
      </c>
      <c r="E5" s="646">
        <f>'A. Építés'!E$5</f>
        <v>373884.8658931586</v>
      </c>
      <c r="F5" s="649">
        <f>'A. Építés'!F$5</f>
        <v>314477.84596567025</v>
      </c>
      <c r="G5" s="646">
        <f>'A. Építés'!G$5</f>
        <v>103282.32387266666</v>
      </c>
      <c r="H5" s="646">
        <f>'A. Építés'!H$5</f>
        <v>1504249.970239301</v>
      </c>
      <c r="I5" s="649">
        <f>'A. Építés'!I$5</f>
        <v>373087.8346128703</v>
      </c>
      <c r="J5" s="647">
        <f>'A. Építés'!J$5</f>
        <v>326774.68246787565</v>
      </c>
    </row>
    <row r="6" spans="1:10" x14ac:dyDescent="0.25">
      <c r="B6" s="47" t="s">
        <v>96</v>
      </c>
      <c r="C6" s="648">
        <f>'B. Intézetek karbantartása'!C$5</f>
        <v>28150.135215837232</v>
      </c>
      <c r="D6" s="646">
        <f>'B. Intézetek karbantartása'!D$5</f>
        <v>0</v>
      </c>
      <c r="E6" s="646">
        <f>'B. Intézetek karbantartása'!E$5</f>
        <v>18353.618451706665</v>
      </c>
      <c r="F6" s="649">
        <f>'B. Intézetek karbantartása'!F$5</f>
        <v>23287.874912506672</v>
      </c>
      <c r="G6" s="646">
        <f>'B. Intézetek karbantartása'!G$5</f>
        <v>0</v>
      </c>
      <c r="H6" s="646">
        <f>'B. Intézetek karbantartása'!H$5</f>
        <v>460344.10762432875</v>
      </c>
      <c r="I6" s="649">
        <f>'B. Intézetek karbantartása'!I$5</f>
        <v>227124.4362946442</v>
      </c>
      <c r="J6" s="647">
        <f>'B. Intézetek karbantartása'!J$5</f>
        <v>349064.19512496545</v>
      </c>
    </row>
    <row r="7" spans="1:10" x14ac:dyDescent="0.25">
      <c r="B7" s="47" t="s">
        <v>97</v>
      </c>
      <c r="C7" s="648">
        <f>'C. Üzemeltetés (rezsi)'!C$5</f>
        <v>149527.67717403284</v>
      </c>
      <c r="D7" s="646">
        <f>'C. Üzemeltetés (rezsi)'!D$5</f>
        <v>0</v>
      </c>
      <c r="E7" s="646">
        <f>'C. Üzemeltetés (rezsi)'!E$5</f>
        <v>119993.74228573024</v>
      </c>
      <c r="F7" s="649">
        <f>'C. Üzemeltetés (rezsi)'!F$5</f>
        <v>134446.42040312025</v>
      </c>
      <c r="G7" s="646">
        <f>'C. Üzemeltetés (rezsi)'!G$5</f>
        <v>216790.1717608505</v>
      </c>
      <c r="H7" s="646">
        <f>'C. Üzemeltetés (rezsi)'!H$5</f>
        <v>251549.62706537251</v>
      </c>
      <c r="I7" s="649">
        <f>'C. Üzemeltetés (rezsi)'!I$5</f>
        <v>235615.16722485051</v>
      </c>
      <c r="J7" s="647">
        <f>'C. Üzemeltetés (rezsi)'!J$5</f>
        <v>208877.71270767893</v>
      </c>
    </row>
    <row r="8" spans="1:10" x14ac:dyDescent="0.25">
      <c r="B8" s="47" t="s">
        <v>5</v>
      </c>
      <c r="C8" s="644">
        <f>'D. Személyzet'!C$5</f>
        <v>916229.99371762376</v>
      </c>
      <c r="D8" s="646">
        <f>'D. Személyzet'!D$5</f>
        <v>0</v>
      </c>
      <c r="E8" s="646">
        <f>'D. Személyzet'!E$5</f>
        <v>735936.78205866669</v>
      </c>
      <c r="F8" s="649">
        <f>'D. Személyzet'!F$5</f>
        <v>830132.1868635898</v>
      </c>
      <c r="G8" s="646">
        <f>'D. Személyzet'!G$5</f>
        <v>986647.78</v>
      </c>
      <c r="H8" s="646">
        <f>'D. Személyzet'!H$5</f>
        <v>1131939.8644533334</v>
      </c>
      <c r="I8" s="649">
        <f>'D. Személyzet'!I$5</f>
        <v>1059158.3335897436</v>
      </c>
      <c r="J8" s="647">
        <f>'D. Személyzet'!J$5</f>
        <v>1059141.2492082049</v>
      </c>
    </row>
    <row r="9" spans="1:10" x14ac:dyDescent="0.25">
      <c r="B9" s="706" t="s">
        <v>6</v>
      </c>
      <c r="C9" s="707">
        <f>'1. Paraméterek - Eredmények'!C$10</f>
        <v>100878.14027884933</v>
      </c>
      <c r="D9" s="708">
        <f>'E. Dologi költség'!D$101</f>
        <v>133150.08909393457</v>
      </c>
      <c r="E9" s="708">
        <f>'E. Dologi költség'!E$101</f>
        <v>160416.98951686823</v>
      </c>
      <c r="F9" s="709">
        <f>'E. Dologi költség'!F$101</f>
        <v>138480.74535192948</v>
      </c>
      <c r="G9" s="708">
        <f>'E. Dologi költség'!G$101</f>
        <v>148850.24853519248</v>
      </c>
      <c r="H9" s="708">
        <f>'E. Dologi költség'!H$101</f>
        <v>220977.9312071772</v>
      </c>
      <c r="I9" s="709">
        <f>'E. Dologi költség'!I$101</f>
        <v>164222.84395938032</v>
      </c>
      <c r="J9" s="710">
        <f>'E. Dologi költség'!J$101</f>
        <v>150421.96822504664</v>
      </c>
    </row>
    <row r="10" spans="1:10" x14ac:dyDescent="0.25">
      <c r="B10" s="47" t="s">
        <v>95</v>
      </c>
      <c r="C10" s="523">
        <f>'F. Élelmezés'!C$5</f>
        <v>143987.74403890665</v>
      </c>
      <c r="D10" s="515">
        <f>'F. Élelmezés'!D$5</f>
        <v>143987.74403890665</v>
      </c>
      <c r="E10" s="515">
        <f>'F. Élelmezés'!E$5</f>
        <v>219000</v>
      </c>
      <c r="F10" s="516">
        <f>'F. Élelmezés'!F$5</f>
        <v>146000</v>
      </c>
      <c r="G10" s="515">
        <f>'F. Élelmezés'!G$5</f>
        <v>143987.74403890665</v>
      </c>
      <c r="H10" s="515">
        <f>'F. Élelmezés'!H$5</f>
        <v>219000</v>
      </c>
      <c r="I10" s="516">
        <f>'F. Élelmezés'!I$5</f>
        <v>146000</v>
      </c>
      <c r="J10" s="517">
        <f>'F. Élelmezés'!J$5</f>
        <v>146000</v>
      </c>
    </row>
    <row r="11" spans="1:10" x14ac:dyDescent="0.25">
      <c r="B11" s="706" t="s">
        <v>434</v>
      </c>
      <c r="C11" s="707">
        <f>'H. Foglalkoztatás'!C92</f>
        <v>-34350.115727984128</v>
      </c>
      <c r="D11" s="708">
        <f>'H. Foglalkoztatás'!D92</f>
        <v>0</v>
      </c>
      <c r="E11" s="708">
        <f>'H. Foglalkoztatás'!E92</f>
        <v>0</v>
      </c>
      <c r="F11" s="709">
        <f>'H. Foglalkoztatás'!F92</f>
        <v>0</v>
      </c>
      <c r="G11" s="708">
        <f>'H. Foglalkoztatás'!G92</f>
        <v>0</v>
      </c>
      <c r="H11" s="708">
        <f>'H. Foglalkoztatás'!H92</f>
        <v>0</v>
      </c>
      <c r="I11" s="709">
        <f>'H. Foglalkoztatás'!I92</f>
        <v>0</v>
      </c>
      <c r="J11" s="710">
        <f>'H. Foglalkoztatás'!J92</f>
        <v>0</v>
      </c>
    </row>
    <row r="12" spans="1:10" x14ac:dyDescent="0.25">
      <c r="B12" s="47" t="s">
        <v>98</v>
      </c>
      <c r="C12" s="644">
        <f>'1. Paraméterek - Eredmények'!C13</f>
        <v>13082.978948528602</v>
      </c>
      <c r="D12" s="646">
        <f>'1. Paraméterek - Eredmények'!D13</f>
        <v>13082.978948528602</v>
      </c>
      <c r="E12" s="646">
        <f>'1. Paraméterek - Eredmények'!E13</f>
        <v>13082.978948528602</v>
      </c>
      <c r="F12" s="649">
        <f>'1. Paraméterek - Eredmények'!F13</f>
        <v>13082.978948528602</v>
      </c>
      <c r="G12" s="646">
        <f>'1. Paraméterek - Eredmények'!G13</f>
        <v>13082.978948528602</v>
      </c>
      <c r="H12" s="646">
        <f>'1. Paraméterek - Eredmények'!H13</f>
        <v>13082.978948528602</v>
      </c>
      <c r="I12" s="649">
        <f>'1. Paraméterek - Eredmények'!I13</f>
        <v>13082.978948528602</v>
      </c>
      <c r="J12" s="647">
        <f>'1. Paraméterek - Eredmények'!J13</f>
        <v>13082.978948528602</v>
      </c>
    </row>
    <row r="13" spans="1:10" x14ac:dyDescent="0.25">
      <c r="B13" s="47" t="s">
        <v>12</v>
      </c>
      <c r="C13" s="644">
        <f>'I. Perköltség'!C$5</f>
        <v>2039.2924060398987</v>
      </c>
      <c r="D13" s="646">
        <f>'I. Perköltség'!D$5</f>
        <v>2039.2924060398987</v>
      </c>
      <c r="E13" s="646">
        <f>'I. Perköltség'!E$5</f>
        <v>2039.2924060398987</v>
      </c>
      <c r="F13" s="649">
        <f>'I. Perköltség'!F$5</f>
        <v>2039.2924060398987</v>
      </c>
      <c r="G13" s="646">
        <f>'I. Perköltség'!G$5</f>
        <v>0</v>
      </c>
      <c r="H13" s="646">
        <f>'I. Perköltség'!H$5</f>
        <v>0</v>
      </c>
      <c r="I13" s="649">
        <f>'I. Perköltség'!I$5</f>
        <v>0</v>
      </c>
      <c r="J13" s="647">
        <f>'I. Perköltség'!J$5</f>
        <v>2039.2924060398987</v>
      </c>
    </row>
    <row r="14" spans="1:10" ht="15.75" thickBot="1" x14ac:dyDescent="0.3">
      <c r="A14" s="705"/>
      <c r="B14" s="57" t="s">
        <v>7</v>
      </c>
      <c r="C14" s="650">
        <f t="shared" ref="C14:J14" si="0">SUM(C5:C13)</f>
        <v>1319545.8460518343</v>
      </c>
      <c r="D14" s="651">
        <f t="shared" si="0"/>
        <v>292260.1044874097</v>
      </c>
      <c r="E14" s="651">
        <f t="shared" si="0"/>
        <v>1642708.2695606991</v>
      </c>
      <c r="F14" s="652">
        <f t="shared" si="0"/>
        <v>1601947.3448513851</v>
      </c>
      <c r="G14" s="651">
        <f t="shared" si="0"/>
        <v>1612641.2471561451</v>
      </c>
      <c r="H14" s="651">
        <f t="shared" si="0"/>
        <v>3801144.4795380412</v>
      </c>
      <c r="I14" s="652">
        <f t="shared" si="0"/>
        <v>2218291.5946300174</v>
      </c>
      <c r="J14" s="653">
        <f t="shared" si="0"/>
        <v>2255402.0790883396</v>
      </c>
    </row>
    <row r="15" spans="1:10" x14ac:dyDescent="0.25">
      <c r="C15" s="59"/>
      <c r="D15" s="58"/>
      <c r="E15" s="58"/>
      <c r="F15" s="30"/>
      <c r="G15" s="58"/>
      <c r="H15" s="58"/>
      <c r="I15" s="58"/>
      <c r="J15" s="58"/>
    </row>
    <row r="16" spans="1:10" ht="15.75" thickBot="1" x14ac:dyDescent="0.3">
      <c r="B16" s="4" t="s">
        <v>269</v>
      </c>
      <c r="H16" s="1"/>
      <c r="I16" s="12"/>
    </row>
    <row r="17" spans="2:10" ht="15" customHeight="1" x14ac:dyDescent="0.25">
      <c r="B17" s="865" t="s">
        <v>243</v>
      </c>
      <c r="C17" s="867" t="s">
        <v>10</v>
      </c>
      <c r="D17" s="869" t="s">
        <v>1</v>
      </c>
      <c r="E17" s="870"/>
      <c r="F17" s="871"/>
      <c r="G17" s="869" t="s">
        <v>99</v>
      </c>
      <c r="H17" s="870"/>
      <c r="I17" s="871"/>
      <c r="J17" s="872" t="s">
        <v>112</v>
      </c>
    </row>
    <row r="18" spans="2:10" ht="15.75" thickBot="1" x14ac:dyDescent="0.3">
      <c r="B18" s="866"/>
      <c r="C18" s="868"/>
      <c r="D18" s="197" t="s">
        <v>86</v>
      </c>
      <c r="E18" s="198" t="s">
        <v>87</v>
      </c>
      <c r="F18" s="199" t="s">
        <v>112</v>
      </c>
      <c r="G18" s="197" t="s">
        <v>86</v>
      </c>
      <c r="H18" s="198" t="s">
        <v>87</v>
      </c>
      <c r="I18" s="199" t="s">
        <v>112</v>
      </c>
      <c r="J18" s="873"/>
    </row>
    <row r="19" spans="2:10" x14ac:dyDescent="0.25">
      <c r="B19" s="654" t="s">
        <v>424</v>
      </c>
      <c r="C19" s="655"/>
      <c r="D19" s="656">
        <f>'A. Építés'!D$49</f>
        <v>0</v>
      </c>
      <c r="E19" s="656">
        <f>'A. Építés'!E$49</f>
        <v>1</v>
      </c>
      <c r="F19" s="657">
        <f>'A. Építés'!F$49</f>
        <v>1</v>
      </c>
      <c r="G19" s="656">
        <f>'A. Építés'!G$49</f>
        <v>0</v>
      </c>
      <c r="H19" s="656">
        <f>'A. Építés'!H$49</f>
        <v>2</v>
      </c>
      <c r="I19" s="657">
        <f>'A. Építés'!I$49</f>
        <v>1</v>
      </c>
      <c r="J19" s="658">
        <f>'A. Építés'!J$49</f>
        <v>1</v>
      </c>
    </row>
    <row r="20" spans="2:10" x14ac:dyDescent="0.25">
      <c r="B20" s="47" t="s">
        <v>94</v>
      </c>
      <c r="C20" s="645"/>
      <c r="D20" s="646">
        <f>'A. Építés'!D$5</f>
        <v>0</v>
      </c>
      <c r="E20" s="646">
        <f>'A. Építés'!E$5</f>
        <v>373884.8658931586</v>
      </c>
      <c r="F20" s="649">
        <f>'A. Építés'!F$5</f>
        <v>314477.84596567025</v>
      </c>
      <c r="G20" s="646">
        <f>'A. Építés'!G$5</f>
        <v>103282.32387266666</v>
      </c>
      <c r="H20" s="646">
        <f>'A. Építés'!H$5</f>
        <v>1504249.970239301</v>
      </c>
      <c r="I20" s="649">
        <f>'A. Építés'!I$5</f>
        <v>373087.8346128703</v>
      </c>
      <c r="J20" s="647">
        <f>'A. Építés'!J$5</f>
        <v>326774.68246787565</v>
      </c>
    </row>
    <row r="21" spans="2:10" x14ac:dyDescent="0.25">
      <c r="B21" s="47" t="s">
        <v>96</v>
      </c>
      <c r="C21" s="648">
        <f>'B. Intézetek karbantartása'!C$5</f>
        <v>28150.135215837232</v>
      </c>
      <c r="D21" s="646">
        <f>'B. Intézetek karbantartása'!D$5</f>
        <v>0</v>
      </c>
      <c r="E21" s="646">
        <f>'B. Intézetek karbantartása'!E$5</f>
        <v>18353.618451706665</v>
      </c>
      <c r="F21" s="649">
        <f>'B. Intézetek karbantartása'!F$5</f>
        <v>23287.874912506672</v>
      </c>
      <c r="G21" s="646">
        <f>'B. Intézetek karbantartása'!G$5</f>
        <v>0</v>
      </c>
      <c r="H21" s="646">
        <f>'B. Intézetek karbantartása'!H$5</f>
        <v>460344.10762432875</v>
      </c>
      <c r="I21" s="649">
        <f>'B. Intézetek karbantartása'!I$5</f>
        <v>227124.4362946442</v>
      </c>
      <c r="J21" s="647">
        <f>'B. Intézetek karbantartása'!J$5</f>
        <v>349064.19512496545</v>
      </c>
    </row>
    <row r="22" spans="2:10" x14ac:dyDescent="0.25">
      <c r="B22" s="47" t="s">
        <v>97</v>
      </c>
      <c r="C22" s="648">
        <f>'C. Üzemeltetés (rezsi)'!C$5</f>
        <v>149527.67717403284</v>
      </c>
      <c r="D22" s="646">
        <f>'C. Üzemeltetés (rezsi)'!D$5</f>
        <v>0</v>
      </c>
      <c r="E22" s="646">
        <f>'C. Üzemeltetés (rezsi)'!E$5</f>
        <v>119993.74228573024</v>
      </c>
      <c r="F22" s="649">
        <f>'C. Üzemeltetés (rezsi)'!F$5</f>
        <v>134446.42040312025</v>
      </c>
      <c r="G22" s="646">
        <f>'C. Üzemeltetés (rezsi)'!G$5</f>
        <v>216790.1717608505</v>
      </c>
      <c r="H22" s="646">
        <f>'C. Üzemeltetés (rezsi)'!H$5</f>
        <v>251549.62706537251</v>
      </c>
      <c r="I22" s="649">
        <f>'C. Üzemeltetés (rezsi)'!I$5</f>
        <v>235615.16722485051</v>
      </c>
      <c r="J22" s="647">
        <f>'C. Üzemeltetés (rezsi)'!J$5</f>
        <v>208877.71270767893</v>
      </c>
    </row>
    <row r="23" spans="2:10" x14ac:dyDescent="0.25">
      <c r="B23" s="47" t="s">
        <v>5</v>
      </c>
      <c r="C23" s="644">
        <f>'D. Személyzet'!C$5</f>
        <v>916229.99371762376</v>
      </c>
      <c r="D23" s="646">
        <f>'D. Személyzet'!D$5</f>
        <v>0</v>
      </c>
      <c r="E23" s="646">
        <f>'D. Személyzet'!E$5</f>
        <v>735936.78205866669</v>
      </c>
      <c r="F23" s="649">
        <f>'D. Személyzet'!F$5</f>
        <v>830132.1868635898</v>
      </c>
      <c r="G23" s="646">
        <f>'D. Személyzet'!G$5</f>
        <v>986647.78</v>
      </c>
      <c r="H23" s="646">
        <f>'D. Személyzet'!H$5</f>
        <v>1131939.8644533334</v>
      </c>
      <c r="I23" s="649">
        <f>'D. Személyzet'!I$5</f>
        <v>1059158.3335897436</v>
      </c>
      <c r="J23" s="647">
        <f>'D. Személyzet'!J$5</f>
        <v>1059141.2492082049</v>
      </c>
    </row>
    <row r="24" spans="2:10" x14ac:dyDescent="0.25">
      <c r="B24" s="706" t="s">
        <v>6</v>
      </c>
      <c r="C24" s="707">
        <f>'1. Paraméterek - Eredmények'!C$10</f>
        <v>100878.14027884933</v>
      </c>
      <c r="D24" s="708">
        <f>'E. Dologi költség'!D$111</f>
        <v>78500.797206289732</v>
      </c>
      <c r="E24" s="708">
        <f>'E. Dologi költség'!E$111</f>
        <v>105767.69762922334</v>
      </c>
      <c r="F24" s="709">
        <f>'E. Dologi költség'!F$111</f>
        <v>83831.453464284627</v>
      </c>
      <c r="G24" s="708">
        <f>'E. Dologi költség'!G$111</f>
        <v>123704.08745056119</v>
      </c>
      <c r="H24" s="708">
        <f>'E. Dologi költség'!H$111</f>
        <v>168295.51470639993</v>
      </c>
      <c r="I24" s="709">
        <f>'E. Dologi költség'!I$111</f>
        <v>123341.67977980844</v>
      </c>
      <c r="J24" s="710">
        <f>'E. Dologi költség'!J$111</f>
        <v>102371.54326034249</v>
      </c>
    </row>
    <row r="25" spans="2:10" x14ac:dyDescent="0.25">
      <c r="B25" s="47" t="s">
        <v>95</v>
      </c>
      <c r="C25" s="523">
        <f>'F. Élelmezés'!C$5</f>
        <v>143987.74403890665</v>
      </c>
      <c r="D25" s="515">
        <f>'F. Élelmezés'!D$5</f>
        <v>143987.74403890665</v>
      </c>
      <c r="E25" s="515">
        <f>'F. Élelmezés'!E$5</f>
        <v>219000</v>
      </c>
      <c r="F25" s="516">
        <f>'F. Élelmezés'!F$5</f>
        <v>146000</v>
      </c>
      <c r="G25" s="515">
        <f>'F. Élelmezés'!G$5</f>
        <v>143987.74403890665</v>
      </c>
      <c r="H25" s="515">
        <f>'F. Élelmezés'!H$5</f>
        <v>219000</v>
      </c>
      <c r="I25" s="516">
        <f>'F. Élelmezés'!I$5</f>
        <v>146000</v>
      </c>
      <c r="J25" s="517">
        <f>'F. Élelmezés'!J$5</f>
        <v>146000</v>
      </c>
    </row>
    <row r="26" spans="2:10" x14ac:dyDescent="0.25">
      <c r="B26" s="706" t="s">
        <v>434</v>
      </c>
      <c r="C26" s="707">
        <f>'H. Foglalkoztatás'!C100</f>
        <v>-34350.115727984128</v>
      </c>
      <c r="D26" s="708">
        <f>'H. Foglalkoztatás'!D100</f>
        <v>0</v>
      </c>
      <c r="E26" s="708">
        <f>'H. Foglalkoztatás'!E100</f>
        <v>0</v>
      </c>
      <c r="F26" s="709">
        <f>'H. Foglalkoztatás'!F100</f>
        <v>0</v>
      </c>
      <c r="G26" s="708">
        <f>'H. Foglalkoztatás'!G100</f>
        <v>-389748.16788807453</v>
      </c>
      <c r="H26" s="708">
        <f>'H. Foglalkoztatás'!H100</f>
        <v>1031031.6893582928</v>
      </c>
      <c r="I26" s="709">
        <f>'H. Foglalkoztatás'!I100</f>
        <v>-77479.571733781602</v>
      </c>
      <c r="J26" s="710">
        <f>'H. Foglalkoztatás'!J100</f>
        <v>-52076.038191362342</v>
      </c>
    </row>
    <row r="27" spans="2:10" x14ac:dyDescent="0.25">
      <c r="B27" s="47" t="s">
        <v>98</v>
      </c>
      <c r="C27" s="644">
        <f>'1. Paraméterek - Eredmények'!C13</f>
        <v>13082.978948528602</v>
      </c>
      <c r="D27" s="646">
        <f>'1. Paraméterek - Eredmények'!D13</f>
        <v>13082.978948528602</v>
      </c>
      <c r="E27" s="646">
        <f>'1. Paraméterek - Eredmények'!E13</f>
        <v>13082.978948528602</v>
      </c>
      <c r="F27" s="649">
        <f>'1. Paraméterek - Eredmények'!F13</f>
        <v>13082.978948528602</v>
      </c>
      <c r="G27" s="646">
        <f>'1. Paraméterek - Eredmények'!G13</f>
        <v>13082.978948528602</v>
      </c>
      <c r="H27" s="646">
        <f>'1. Paraméterek - Eredmények'!H13</f>
        <v>13082.978948528602</v>
      </c>
      <c r="I27" s="649">
        <f>'1. Paraméterek - Eredmények'!I13</f>
        <v>13082.978948528602</v>
      </c>
      <c r="J27" s="647">
        <f>'1. Paraméterek - Eredmények'!J13</f>
        <v>13082.978948528602</v>
      </c>
    </row>
    <row r="28" spans="2:10" x14ac:dyDescent="0.25">
      <c r="B28" s="47" t="s">
        <v>12</v>
      </c>
      <c r="C28" s="644">
        <f>'I. Perköltség'!C$5</f>
        <v>2039.2924060398987</v>
      </c>
      <c r="D28" s="646">
        <f>'I. Perköltség'!D$5</f>
        <v>2039.2924060398987</v>
      </c>
      <c r="E28" s="646">
        <f>'I. Perköltség'!E$5</f>
        <v>2039.2924060398987</v>
      </c>
      <c r="F28" s="649">
        <f>'I. Perköltség'!F$5</f>
        <v>2039.2924060398987</v>
      </c>
      <c r="G28" s="646">
        <f>'I. Perköltség'!G$5</f>
        <v>0</v>
      </c>
      <c r="H28" s="646">
        <f>'I. Perköltség'!H$5</f>
        <v>0</v>
      </c>
      <c r="I28" s="649">
        <f>'I. Perköltség'!I$5</f>
        <v>0</v>
      </c>
      <c r="J28" s="647">
        <f>'I. Perköltség'!J$5</f>
        <v>2039.2924060398987</v>
      </c>
    </row>
    <row r="29" spans="2:10" ht="15.75" thickBot="1" x14ac:dyDescent="0.3">
      <c r="B29" s="57" t="s">
        <v>7</v>
      </c>
      <c r="C29" s="650">
        <f t="shared" ref="C29:J29" si="1">SUM(C20:C28)</f>
        <v>1319545.8460518343</v>
      </c>
      <c r="D29" s="651">
        <f t="shared" si="1"/>
        <v>237610.81259976485</v>
      </c>
      <c r="E29" s="651">
        <f t="shared" si="1"/>
        <v>1588058.9776730542</v>
      </c>
      <c r="F29" s="652">
        <f t="shared" si="1"/>
        <v>1547298.0529637402</v>
      </c>
      <c r="G29" s="651">
        <f t="shared" si="1"/>
        <v>1197746.9181834392</v>
      </c>
      <c r="H29" s="651">
        <f t="shared" si="1"/>
        <v>4779493.7523955572</v>
      </c>
      <c r="I29" s="652">
        <f t="shared" si="1"/>
        <v>2099930.8587166639</v>
      </c>
      <c r="J29" s="653">
        <f t="shared" si="1"/>
        <v>2155275.6159322732</v>
      </c>
    </row>
  </sheetData>
  <sheetProtection algorithmName="SHA-512" hashValue="jXmidxMUA3px8XozRiRVMrVi3yMUqx3Tz6zVOlzNAf8WcMXOd0sizAfqlS9gh7kMtyl+qun8HvroE3WHtvg/iA==" saltValue="7+ydWbaze4HTJ9dIytG8cw==" spinCount="100000" sheet="1" objects="1" scenarios="1"/>
  <mergeCells count="10">
    <mergeCell ref="B17:B18"/>
    <mergeCell ref="C17:C18"/>
    <mergeCell ref="D17:F17"/>
    <mergeCell ref="G17:I17"/>
    <mergeCell ref="J17:J18"/>
    <mergeCell ref="B2:B3"/>
    <mergeCell ref="C2:C3"/>
    <mergeCell ref="D2:F2"/>
    <mergeCell ref="G2:I2"/>
    <mergeCell ref="J2:J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8"/>
  <sheetViews>
    <sheetView topLeftCell="A4" workbookViewId="0">
      <selection activeCell="D4" sqref="D4:J6"/>
    </sheetView>
  </sheetViews>
  <sheetFormatPr defaultRowHeight="15" x14ac:dyDescent="0.25"/>
  <cols>
    <col min="1" max="1" width="4" style="329" customWidth="1"/>
    <col min="2" max="2" width="39.5703125" style="339" customWidth="1"/>
    <col min="3" max="3" width="13.42578125" style="329" customWidth="1"/>
    <col min="4" max="4" width="16.28515625" style="329" customWidth="1"/>
    <col min="5" max="5" width="16.85546875" style="329" bestFit="1" customWidth="1"/>
    <col min="6" max="6" width="15.140625" style="329" customWidth="1"/>
    <col min="7" max="7" width="15.7109375" style="329" customWidth="1"/>
    <col min="8" max="8" width="15.85546875" style="329" customWidth="1"/>
    <col min="9" max="9" width="14.5703125" style="329" customWidth="1"/>
    <col min="10" max="10" width="15.140625" style="329" customWidth="1"/>
    <col min="11" max="16384" width="9.140625" style="329"/>
  </cols>
  <sheetData>
    <row r="1" spans="2:10" ht="15.75" thickBot="1" x14ac:dyDescent="0.3">
      <c r="B1" s="328" t="s">
        <v>265</v>
      </c>
    </row>
    <row r="2" spans="2:10" ht="15.75" x14ac:dyDescent="0.25">
      <c r="B2" s="874" t="s">
        <v>246</v>
      </c>
      <c r="C2" s="876" t="s">
        <v>10</v>
      </c>
      <c r="D2" s="882" t="s">
        <v>1</v>
      </c>
      <c r="E2" s="883"/>
      <c r="F2" s="884"/>
      <c r="G2" s="882" t="s">
        <v>99</v>
      </c>
      <c r="H2" s="883"/>
      <c r="I2" s="884"/>
      <c r="J2" s="880" t="s">
        <v>112</v>
      </c>
    </row>
    <row r="3" spans="2:10" ht="16.5" thickBot="1" x14ac:dyDescent="0.3">
      <c r="B3" s="875"/>
      <c r="C3" s="877"/>
      <c r="D3" s="81" t="s">
        <v>86</v>
      </c>
      <c r="E3" s="82" t="s">
        <v>87</v>
      </c>
      <c r="F3" s="83" t="s">
        <v>112</v>
      </c>
      <c r="G3" s="81" t="s">
        <v>86</v>
      </c>
      <c r="H3" s="82" t="s">
        <v>87</v>
      </c>
      <c r="I3" s="83" t="s">
        <v>112</v>
      </c>
      <c r="J3" s="881"/>
    </row>
    <row r="4" spans="2:10" x14ac:dyDescent="0.25">
      <c r="B4" s="84" t="s">
        <v>113</v>
      </c>
      <c r="C4" s="130"/>
      <c r="D4" s="725">
        <f>D59+D76</f>
        <v>0</v>
      </c>
      <c r="E4" s="726">
        <f t="shared" ref="E4:J4" si="0">E59+E76</f>
        <v>560827298.83973789</v>
      </c>
      <c r="F4" s="727">
        <f t="shared" si="0"/>
        <v>471716768.94850546</v>
      </c>
      <c r="G4" s="725">
        <f t="shared" si="0"/>
        <v>154923485.80899999</v>
      </c>
      <c r="H4" s="726">
        <f t="shared" si="0"/>
        <v>1134720357.6794758</v>
      </c>
      <c r="I4" s="728">
        <f t="shared" si="0"/>
        <v>559631751.91930544</v>
      </c>
      <c r="J4" s="526">
        <f t="shared" si="0"/>
        <v>525440811.91930544</v>
      </c>
    </row>
    <row r="5" spans="2:10" x14ac:dyDescent="0.25">
      <c r="B5" s="84" t="s">
        <v>114</v>
      </c>
      <c r="C5" s="130"/>
      <c r="D5" s="725">
        <f t="shared" ref="D5:J5" si="1">D60*D50/$C$16+D77*D73/$C$16</f>
        <v>0</v>
      </c>
      <c r="E5" s="726">
        <f t="shared" si="1"/>
        <v>373884.8658931586</v>
      </c>
      <c r="F5" s="727">
        <f t="shared" si="1"/>
        <v>314477.84596567025</v>
      </c>
      <c r="G5" s="725">
        <f t="shared" si="1"/>
        <v>103282.32387266666</v>
      </c>
      <c r="H5" s="726">
        <f t="shared" si="1"/>
        <v>1504249.970239301</v>
      </c>
      <c r="I5" s="727">
        <f t="shared" si="1"/>
        <v>373087.8346128703</v>
      </c>
      <c r="J5" s="526">
        <f t="shared" si="1"/>
        <v>326774.68246787565</v>
      </c>
    </row>
    <row r="6" spans="2:10" ht="15.75" thickBot="1" x14ac:dyDescent="0.3">
      <c r="B6" s="85" t="s">
        <v>115</v>
      </c>
      <c r="C6" s="131"/>
      <c r="D6" s="730">
        <f>D5/365</f>
        <v>0</v>
      </c>
      <c r="E6" s="731">
        <f t="shared" ref="E6:J6" si="2">E5/365</f>
        <v>1024.3420983374208</v>
      </c>
      <c r="F6" s="732">
        <f t="shared" si="2"/>
        <v>861.58313963197327</v>
      </c>
      <c r="G6" s="730">
        <f t="shared" si="2"/>
        <v>282.96527088401825</v>
      </c>
      <c r="H6" s="731">
        <f t="shared" si="2"/>
        <v>4121.2327951761672</v>
      </c>
      <c r="I6" s="732">
        <f t="shared" si="2"/>
        <v>1022.1584509941652</v>
      </c>
      <c r="J6" s="527">
        <f t="shared" si="2"/>
        <v>895.27310265171411</v>
      </c>
    </row>
    <row r="7" spans="2:10" x14ac:dyDescent="0.25">
      <c r="B7" s="220"/>
      <c r="C7" s="299"/>
      <c r="D7" s="193"/>
      <c r="E7" s="193"/>
      <c r="G7" s="193"/>
      <c r="H7" s="193"/>
      <c r="I7" s="193"/>
      <c r="J7" s="193"/>
    </row>
    <row r="8" spans="2:10" ht="15.75" thickBot="1" x14ac:dyDescent="0.3">
      <c r="B8" s="330" t="s">
        <v>118</v>
      </c>
      <c r="C8" s="299"/>
      <c r="D8" s="193"/>
      <c r="E8" s="193"/>
      <c r="G8" s="193"/>
      <c r="H8" s="193"/>
      <c r="I8" s="193"/>
      <c r="J8" s="193"/>
    </row>
    <row r="9" spans="2:10" ht="15.75" x14ac:dyDescent="0.25">
      <c r="B9" s="874" t="s">
        <v>246</v>
      </c>
      <c r="C9" s="876" t="s">
        <v>10</v>
      </c>
      <c r="D9" s="882" t="s">
        <v>1</v>
      </c>
      <c r="E9" s="883"/>
      <c r="F9" s="884"/>
      <c r="G9" s="882" t="s">
        <v>99</v>
      </c>
      <c r="H9" s="883"/>
      <c r="I9" s="884"/>
      <c r="J9" s="880" t="s">
        <v>112</v>
      </c>
    </row>
    <row r="10" spans="2:10" ht="16.5" thickBot="1" x14ac:dyDescent="0.3">
      <c r="B10" s="875"/>
      <c r="C10" s="877"/>
      <c r="D10" s="81" t="s">
        <v>86</v>
      </c>
      <c r="E10" s="82" t="s">
        <v>87</v>
      </c>
      <c r="F10" s="83" t="s">
        <v>112</v>
      </c>
      <c r="G10" s="81" t="s">
        <v>86</v>
      </c>
      <c r="H10" s="82" t="s">
        <v>87</v>
      </c>
      <c r="I10" s="83" t="s">
        <v>112</v>
      </c>
      <c r="J10" s="881"/>
    </row>
    <row r="11" spans="2:10" x14ac:dyDescent="0.25">
      <c r="B11" s="109" t="s">
        <v>113</v>
      </c>
      <c r="C11" s="110"/>
      <c r="D11" s="126"/>
      <c r="E11" s="127"/>
      <c r="F11" s="128"/>
      <c r="G11" s="126"/>
      <c r="H11" s="127"/>
      <c r="I11" s="128"/>
      <c r="J11" s="129"/>
    </row>
    <row r="12" spans="2:10" x14ac:dyDescent="0.25">
      <c r="B12" s="109" t="s">
        <v>114</v>
      </c>
      <c r="C12" s="110"/>
      <c r="D12" s="126"/>
      <c r="E12" s="127"/>
      <c r="F12" s="128"/>
      <c r="G12" s="126"/>
      <c r="H12" s="127"/>
      <c r="I12" s="128"/>
      <c r="J12" s="129"/>
    </row>
    <row r="13" spans="2:10" ht="15.75" thickBot="1" x14ac:dyDescent="0.3">
      <c r="B13" s="243" t="s">
        <v>115</v>
      </c>
      <c r="C13" s="331"/>
      <c r="D13" s="332"/>
      <c r="E13" s="333"/>
      <c r="F13" s="334"/>
      <c r="G13" s="332"/>
      <c r="H13" s="333"/>
      <c r="I13" s="334"/>
      <c r="J13" s="169"/>
    </row>
    <row r="14" spans="2:10" x14ac:dyDescent="0.25">
      <c r="B14" s="220"/>
      <c r="C14" s="299"/>
      <c r="D14" s="193"/>
      <c r="E14" s="193"/>
      <c r="F14" s="193"/>
      <c r="G14" s="193"/>
      <c r="H14" s="193"/>
      <c r="I14" s="193"/>
    </row>
    <row r="15" spans="2:10" ht="15.75" x14ac:dyDescent="0.25">
      <c r="B15" s="76" t="s">
        <v>56</v>
      </c>
      <c r="C15" s="86"/>
    </row>
    <row r="16" spans="2:10" x14ac:dyDescent="0.25">
      <c r="B16" s="87" t="s">
        <v>11</v>
      </c>
      <c r="C16" s="375">
        <f>Fogvatartottak_számának_növekedése</f>
        <v>1500</v>
      </c>
    </row>
    <row r="17" spans="2:9" x14ac:dyDescent="0.25">
      <c r="B17" s="335"/>
      <c r="C17" s="287"/>
    </row>
    <row r="18" spans="2:9" x14ac:dyDescent="0.25">
      <c r="B18" s="302" t="s">
        <v>228</v>
      </c>
      <c r="C18" s="303"/>
      <c r="D18" s="371"/>
      <c r="E18" s="372"/>
    </row>
    <row r="19" spans="2:9" x14ac:dyDescent="0.25">
      <c r="B19" s="373" t="s">
        <v>37</v>
      </c>
      <c r="C19" s="299"/>
      <c r="D19" s="97"/>
      <c r="E19" s="374"/>
    </row>
    <row r="20" spans="2:9" x14ac:dyDescent="0.25">
      <c r="B20" s="74" t="str">
        <f>'1. Paraméterek - Eredmények'!B50</f>
        <v>Építőipari költségalapú árindex 2005</v>
      </c>
      <c r="C20" s="309">
        <f>'1. Paraméterek - Eredmények'!C50</f>
        <v>1.3335914494188683</v>
      </c>
      <c r="D20" s="97"/>
      <c r="E20" s="374"/>
    </row>
    <row r="21" spans="2:9" x14ac:dyDescent="0.25">
      <c r="B21" s="74" t="str">
        <f>'1. Paraméterek - Eredmények'!B51</f>
        <v>Építőipari költségalapú árindex 2006</v>
      </c>
      <c r="C21" s="309">
        <f>'1. Paraméterek - Eredmények'!C51</f>
        <v>1.2440218744578992</v>
      </c>
      <c r="D21" s="97"/>
      <c r="E21" s="374"/>
    </row>
    <row r="22" spans="2:9" x14ac:dyDescent="0.25">
      <c r="B22" s="373" t="s">
        <v>38</v>
      </c>
      <c r="C22" s="310" t="s">
        <v>54</v>
      </c>
      <c r="D22" s="310" t="s">
        <v>55</v>
      </c>
      <c r="E22" s="311" t="s">
        <v>60</v>
      </c>
    </row>
    <row r="23" spans="2:9" x14ac:dyDescent="0.25">
      <c r="B23" s="74" t="s">
        <v>8</v>
      </c>
      <c r="C23" s="271">
        <f>'1. Paraméterek - Eredmények'!C56</f>
        <v>1600</v>
      </c>
      <c r="D23" s="271">
        <f>'1. Paraméterek - Eredmények'!D56</f>
        <v>700</v>
      </c>
      <c r="E23" s="272">
        <f>'1. Paraméterek - Eredmények'!E56</f>
        <v>800</v>
      </c>
    </row>
    <row r="24" spans="2:9" x14ac:dyDescent="0.25">
      <c r="B24" s="74" t="s">
        <v>0</v>
      </c>
      <c r="C24" s="666">
        <f>'1. Paraméterek - Eredmények'!C57</f>
        <v>0.05</v>
      </c>
      <c r="D24" s="666">
        <f>'1. Paraméterek - Eredmények'!D57</f>
        <v>0.08</v>
      </c>
      <c r="E24" s="667">
        <f>'1. Paraméterek - Eredmények'!E57</f>
        <v>0.06</v>
      </c>
    </row>
    <row r="25" spans="2:9" ht="15.75" thickBot="1" x14ac:dyDescent="0.3">
      <c r="B25" s="121" t="s">
        <v>129</v>
      </c>
      <c r="C25" s="351"/>
      <c r="D25" s="351"/>
      <c r="E25" s="352"/>
    </row>
    <row r="26" spans="2:9" ht="15.75" thickBot="1" x14ac:dyDescent="0.3">
      <c r="B26" s="75" t="s">
        <v>140</v>
      </c>
      <c r="C26" s="353">
        <f>MIN(I33:I34)</f>
        <v>258059.09287946072</v>
      </c>
      <c r="D26" s="353">
        <f>MAX(I33:I34)</f>
        <v>262805.93933765206</v>
      </c>
      <c r="E26" s="668">
        <v>260000</v>
      </c>
    </row>
    <row r="27" spans="2:9" x14ac:dyDescent="0.25">
      <c r="B27" s="337"/>
      <c r="C27" s="177"/>
      <c r="D27" s="177"/>
      <c r="E27" s="177"/>
    </row>
    <row r="28" spans="2:9" x14ac:dyDescent="0.25">
      <c r="B28" s="76" t="s">
        <v>227</v>
      </c>
      <c r="C28" s="77" t="s">
        <v>1</v>
      </c>
      <c r="D28" s="77" t="s">
        <v>99</v>
      </c>
      <c r="E28" s="78" t="s">
        <v>60</v>
      </c>
    </row>
    <row r="29" spans="2:9" x14ac:dyDescent="0.25">
      <c r="B29" s="90" t="s">
        <v>3</v>
      </c>
      <c r="C29" s="354">
        <f>'1. Paraméterek - Eredmények'!C60</f>
        <v>1.44</v>
      </c>
      <c r="D29" s="354">
        <f>'1. Paraméterek - Eredmények'!D60</f>
        <v>1</v>
      </c>
      <c r="E29" s="355">
        <f>'1. Paraméterek - Eredmények'!E60</f>
        <v>1.22</v>
      </c>
    </row>
    <row r="30" spans="2:9" s="338" customFormat="1" x14ac:dyDescent="0.25">
      <c r="B30" s="220"/>
      <c r="C30" s="336"/>
      <c r="D30" s="336"/>
      <c r="E30" s="336"/>
    </row>
    <row r="31" spans="2:9" x14ac:dyDescent="0.25">
      <c r="B31" s="91" t="s">
        <v>102</v>
      </c>
      <c r="C31" s="885" t="s">
        <v>132</v>
      </c>
      <c r="D31" s="885"/>
      <c r="E31" s="885"/>
      <c r="F31" s="885"/>
      <c r="G31" s="885"/>
      <c r="H31" s="885"/>
      <c r="I31" s="886"/>
    </row>
    <row r="32" spans="2:9" ht="60" x14ac:dyDescent="0.25">
      <c r="B32" s="122"/>
      <c r="C32" s="123" t="s">
        <v>108</v>
      </c>
      <c r="D32" s="124" t="s">
        <v>104</v>
      </c>
      <c r="E32" s="124" t="s">
        <v>105</v>
      </c>
      <c r="F32" s="124" t="s">
        <v>103</v>
      </c>
      <c r="G32" s="124" t="s">
        <v>109</v>
      </c>
      <c r="H32" s="123" t="s">
        <v>107</v>
      </c>
      <c r="I32" s="125" t="s">
        <v>139</v>
      </c>
    </row>
    <row r="33" spans="2:10" x14ac:dyDescent="0.25">
      <c r="B33" s="95" t="s">
        <v>100</v>
      </c>
      <c r="C33" s="96">
        <v>5765667419</v>
      </c>
      <c r="D33" s="96">
        <v>5968.8</v>
      </c>
      <c r="E33" s="96">
        <v>29257.5</v>
      </c>
      <c r="F33" s="97">
        <v>800</v>
      </c>
      <c r="G33" s="97">
        <v>2005</v>
      </c>
      <c r="H33" s="98">
        <f>C33/E33</f>
        <v>197066.30501580791</v>
      </c>
      <c r="I33" s="99">
        <f>H33*C20</f>
        <v>262805.93933765206</v>
      </c>
    </row>
    <row r="34" spans="2:10" x14ac:dyDescent="0.25">
      <c r="B34" s="100" t="s">
        <v>101</v>
      </c>
      <c r="C34" s="101">
        <v>7696000000</v>
      </c>
      <c r="D34" s="101">
        <v>6893.5</v>
      </c>
      <c r="E34" s="101">
        <v>37100</v>
      </c>
      <c r="F34" s="102">
        <v>700</v>
      </c>
      <c r="G34" s="102">
        <v>2006</v>
      </c>
      <c r="H34" s="103">
        <f>C34/E34</f>
        <v>207439.35309973045</v>
      </c>
      <c r="I34" s="104">
        <f>H34*C21</f>
        <v>258059.09287946072</v>
      </c>
    </row>
    <row r="35" spans="2:10" x14ac:dyDescent="0.25">
      <c r="I35" s="340"/>
    </row>
    <row r="36" spans="2:10" ht="45.75" customHeight="1" x14ac:dyDescent="0.25">
      <c r="B36" s="91" t="s">
        <v>131</v>
      </c>
      <c r="C36" s="885" t="s">
        <v>133</v>
      </c>
      <c r="D36" s="887"/>
      <c r="E36" s="887"/>
      <c r="F36" s="887"/>
      <c r="G36" s="887"/>
      <c r="H36" s="887"/>
      <c r="I36" s="888"/>
    </row>
    <row r="37" spans="2:10" ht="60" x14ac:dyDescent="0.25">
      <c r="B37" s="122"/>
      <c r="C37" s="341" t="s">
        <v>137</v>
      </c>
      <c r="D37" s="342" t="s">
        <v>103</v>
      </c>
      <c r="E37" s="342" t="s">
        <v>109</v>
      </c>
      <c r="F37" s="342" t="s">
        <v>138</v>
      </c>
      <c r="G37" s="889" t="s">
        <v>324</v>
      </c>
      <c r="H37" s="889"/>
      <c r="I37" s="890"/>
    </row>
    <row r="38" spans="2:10" ht="15" customHeight="1" x14ac:dyDescent="0.25">
      <c r="B38" s="95" t="s">
        <v>134</v>
      </c>
      <c r="C38" s="343">
        <v>78790716.180000007</v>
      </c>
      <c r="D38" s="344">
        <v>24</v>
      </c>
      <c r="E38" s="97">
        <v>2013</v>
      </c>
      <c r="F38" s="345">
        <f>C38/D38</f>
        <v>3282946.5075000003</v>
      </c>
      <c r="G38" s="889"/>
      <c r="H38" s="889"/>
      <c r="I38" s="890"/>
    </row>
    <row r="39" spans="2:10" x14ac:dyDescent="0.25">
      <c r="B39" s="95" t="s">
        <v>135</v>
      </c>
      <c r="C39" s="343">
        <v>79883000</v>
      </c>
      <c r="D39" s="344">
        <v>35</v>
      </c>
      <c r="E39" s="97">
        <v>2013</v>
      </c>
      <c r="F39" s="345">
        <f t="shared" ref="F39:F40" si="3">C39/D39</f>
        <v>2282371.4285714286</v>
      </c>
      <c r="G39" s="889"/>
      <c r="H39" s="889"/>
      <c r="I39" s="890"/>
    </row>
    <row r="40" spans="2:10" x14ac:dyDescent="0.25">
      <c r="B40" s="100" t="s">
        <v>136</v>
      </c>
      <c r="C40" s="346">
        <v>163322000</v>
      </c>
      <c r="D40" s="347">
        <v>80</v>
      </c>
      <c r="E40" s="102">
        <v>2013</v>
      </c>
      <c r="F40" s="348">
        <f t="shared" si="3"/>
        <v>2041525</v>
      </c>
      <c r="G40" s="891"/>
      <c r="H40" s="891"/>
      <c r="I40" s="892"/>
    </row>
    <row r="41" spans="2:10" ht="15.75" thickBot="1" x14ac:dyDescent="0.3"/>
    <row r="42" spans="2:10" s="97" customFormat="1" ht="15.75" x14ac:dyDescent="0.25">
      <c r="B42" s="878" t="s">
        <v>130</v>
      </c>
      <c r="C42" s="876" t="s">
        <v>10</v>
      </c>
      <c r="D42" s="882" t="s">
        <v>1</v>
      </c>
      <c r="E42" s="883"/>
      <c r="F42" s="884"/>
      <c r="G42" s="882" t="s">
        <v>99</v>
      </c>
      <c r="H42" s="883"/>
      <c r="I42" s="884"/>
      <c r="J42" s="880" t="s">
        <v>112</v>
      </c>
    </row>
    <row r="43" spans="2:10" s="97" customFormat="1" ht="16.5" thickBot="1" x14ac:dyDescent="0.3">
      <c r="B43" s="879"/>
      <c r="C43" s="877"/>
      <c r="D43" s="81" t="s">
        <v>86</v>
      </c>
      <c r="E43" s="82" t="s">
        <v>87</v>
      </c>
      <c r="F43" s="83" t="s">
        <v>112</v>
      </c>
      <c r="G43" s="81" t="s">
        <v>86</v>
      </c>
      <c r="H43" s="82" t="s">
        <v>87</v>
      </c>
      <c r="I43" s="83" t="s">
        <v>112</v>
      </c>
      <c r="J43" s="881"/>
    </row>
    <row r="44" spans="2:10" s="97" customFormat="1" x14ac:dyDescent="0.25">
      <c r="B44" s="673" t="s">
        <v>8</v>
      </c>
      <c r="C44" s="356"/>
      <c r="D44" s="270">
        <f t="shared" ref="D44:F45" si="4">C23</f>
        <v>1600</v>
      </c>
      <c r="E44" s="271">
        <f t="shared" si="4"/>
        <v>700</v>
      </c>
      <c r="F44" s="272">
        <f t="shared" si="4"/>
        <v>800</v>
      </c>
      <c r="G44" s="270">
        <f t="shared" ref="G44:I45" si="5">C23</f>
        <v>1600</v>
      </c>
      <c r="H44" s="271">
        <f t="shared" si="5"/>
        <v>700</v>
      </c>
      <c r="I44" s="272">
        <f t="shared" si="5"/>
        <v>800</v>
      </c>
      <c r="J44" s="274">
        <f>E23</f>
        <v>800</v>
      </c>
    </row>
    <row r="45" spans="2:10" s="97" customFormat="1" x14ac:dyDescent="0.25">
      <c r="B45" s="673" t="s">
        <v>0</v>
      </c>
      <c r="C45" s="356"/>
      <c r="D45" s="275">
        <f t="shared" si="4"/>
        <v>0.05</v>
      </c>
      <c r="E45" s="276">
        <f t="shared" si="4"/>
        <v>0.08</v>
      </c>
      <c r="F45" s="277">
        <f t="shared" si="4"/>
        <v>0.06</v>
      </c>
      <c r="G45" s="275">
        <f t="shared" si="5"/>
        <v>0.05</v>
      </c>
      <c r="H45" s="276">
        <f t="shared" si="5"/>
        <v>0.08</v>
      </c>
      <c r="I45" s="277">
        <f t="shared" si="5"/>
        <v>0.06</v>
      </c>
      <c r="J45" s="278">
        <f>E24</f>
        <v>0.06</v>
      </c>
    </row>
    <row r="46" spans="2:10" s="97" customFormat="1" x14ac:dyDescent="0.25">
      <c r="B46" s="673" t="s">
        <v>140</v>
      </c>
      <c r="C46" s="356"/>
      <c r="D46" s="270">
        <f>C26</f>
        <v>258059.09287946072</v>
      </c>
      <c r="E46" s="271">
        <f>D26</f>
        <v>262805.93933765206</v>
      </c>
      <c r="F46" s="273">
        <f>E26</f>
        <v>260000</v>
      </c>
      <c r="G46" s="270">
        <f>C26</f>
        <v>258059.09287946072</v>
      </c>
      <c r="H46" s="271">
        <f>D26</f>
        <v>262805.93933765206</v>
      </c>
      <c r="I46" s="273">
        <f>E26</f>
        <v>260000</v>
      </c>
      <c r="J46" s="274">
        <f>E26</f>
        <v>260000</v>
      </c>
    </row>
    <row r="47" spans="2:10" s="97" customFormat="1" x14ac:dyDescent="0.25">
      <c r="B47" s="674" t="s">
        <v>3</v>
      </c>
      <c r="C47" s="357"/>
      <c r="D47" s="406">
        <f>$C$29</f>
        <v>1.44</v>
      </c>
      <c r="E47" s="319">
        <f t="shared" ref="E47:F47" si="6">$C$29</f>
        <v>1.44</v>
      </c>
      <c r="F47" s="572">
        <f t="shared" si="6"/>
        <v>1.44</v>
      </c>
      <c r="G47" s="406">
        <f>$D$29</f>
        <v>1</v>
      </c>
      <c r="H47" s="319">
        <f t="shared" ref="H47:I47" si="7">$D$29</f>
        <v>1</v>
      </c>
      <c r="I47" s="572">
        <f t="shared" si="7"/>
        <v>1</v>
      </c>
      <c r="J47" s="407">
        <f>E29</f>
        <v>1.22</v>
      </c>
    </row>
    <row r="48" spans="2:10" s="97" customFormat="1" ht="30" x14ac:dyDescent="0.25">
      <c r="B48" s="472" t="s">
        <v>161</v>
      </c>
      <c r="C48" s="358"/>
      <c r="D48" s="514">
        <f>D44*D47</f>
        <v>2304</v>
      </c>
      <c r="E48" s="515">
        <f t="shared" ref="E48:J48" si="8">E44*E47</f>
        <v>1008</v>
      </c>
      <c r="F48" s="516">
        <f t="shared" si="8"/>
        <v>1152</v>
      </c>
      <c r="G48" s="514">
        <f t="shared" si="8"/>
        <v>1600</v>
      </c>
      <c r="H48" s="515">
        <f t="shared" si="8"/>
        <v>700</v>
      </c>
      <c r="I48" s="516">
        <f t="shared" si="8"/>
        <v>800</v>
      </c>
      <c r="J48" s="517">
        <f t="shared" si="8"/>
        <v>976</v>
      </c>
    </row>
    <row r="49" spans="2:10" s="97" customFormat="1" x14ac:dyDescent="0.25">
      <c r="B49" s="675" t="s">
        <v>110</v>
      </c>
      <c r="C49" s="358"/>
      <c r="D49" s="514">
        <f>TRUNC($C$16/D48)</f>
        <v>0</v>
      </c>
      <c r="E49" s="515">
        <f t="shared" ref="E49:F49" si="9">TRUNC($C$16/E48)</f>
        <v>1</v>
      </c>
      <c r="F49" s="516">
        <f t="shared" si="9"/>
        <v>1</v>
      </c>
      <c r="G49" s="514">
        <f t="shared" ref="G49" si="10">TRUNC($C$16/G48)</f>
        <v>0</v>
      </c>
      <c r="H49" s="515">
        <f t="shared" ref="H49" si="11">TRUNC($C$16/H48)</f>
        <v>2</v>
      </c>
      <c r="I49" s="516">
        <f t="shared" ref="I49:J49" si="12">TRUNC($C$16/I48)</f>
        <v>1</v>
      </c>
      <c r="J49" s="517">
        <f t="shared" si="12"/>
        <v>1</v>
      </c>
    </row>
    <row r="50" spans="2:10" s="97" customFormat="1" x14ac:dyDescent="0.25">
      <c r="B50" s="675" t="s">
        <v>119</v>
      </c>
      <c r="C50" s="358"/>
      <c r="D50" s="514">
        <f>D48*D49</f>
        <v>0</v>
      </c>
      <c r="E50" s="515">
        <f t="shared" ref="E50:J50" si="13">E48*E49</f>
        <v>1008</v>
      </c>
      <c r="F50" s="516">
        <f t="shared" si="13"/>
        <v>1152</v>
      </c>
      <c r="G50" s="514">
        <f t="shared" si="13"/>
        <v>0</v>
      </c>
      <c r="H50" s="515">
        <f t="shared" si="13"/>
        <v>1400</v>
      </c>
      <c r="I50" s="516">
        <f t="shared" si="13"/>
        <v>800</v>
      </c>
      <c r="J50" s="517">
        <f t="shared" si="13"/>
        <v>976</v>
      </c>
    </row>
    <row r="51" spans="2:10" s="97" customFormat="1" ht="30" x14ac:dyDescent="0.25">
      <c r="B51" s="675" t="s">
        <v>121</v>
      </c>
      <c r="C51" s="358"/>
      <c r="D51" s="514">
        <f>'1. Paraméterek - Eredmények'!$D$61</f>
        <v>8.654169999999997</v>
      </c>
      <c r="E51" s="515">
        <f>'1. Paraméterek - Eredmények'!$D$61</f>
        <v>8.654169999999997</v>
      </c>
      <c r="F51" s="516">
        <f>'1. Paraméterek - Eredmények'!$D$61</f>
        <v>8.654169999999997</v>
      </c>
      <c r="G51" s="514">
        <f>'1. Paraméterek - Eredmények'!$D$61</f>
        <v>8.654169999999997</v>
      </c>
      <c r="H51" s="515">
        <f>'1. Paraméterek - Eredmények'!$D$61</f>
        <v>8.654169999999997</v>
      </c>
      <c r="I51" s="516">
        <f>'1. Paraméterek - Eredmények'!$D$61</f>
        <v>8.654169999999997</v>
      </c>
      <c r="J51" s="517">
        <f>'1. Paraméterek - Eredmények'!$D$61</f>
        <v>8.654169999999997</v>
      </c>
    </row>
    <row r="52" spans="2:10" s="97" customFormat="1" x14ac:dyDescent="0.25">
      <c r="B52" s="675" t="s">
        <v>120</v>
      </c>
      <c r="C52" s="358"/>
      <c r="D52" s="514">
        <f t="shared" ref="D52:J52" si="14">D44*D51</f>
        <v>13846.671999999995</v>
      </c>
      <c r="E52" s="515">
        <f t="shared" si="14"/>
        <v>6057.9189999999981</v>
      </c>
      <c r="F52" s="516">
        <f t="shared" si="14"/>
        <v>6923.3359999999975</v>
      </c>
      <c r="G52" s="514">
        <f t="shared" si="14"/>
        <v>13846.671999999995</v>
      </c>
      <c r="H52" s="515">
        <f t="shared" si="14"/>
        <v>6057.9189999999981</v>
      </c>
      <c r="I52" s="516">
        <f t="shared" si="14"/>
        <v>6923.3359999999975</v>
      </c>
      <c r="J52" s="517">
        <f t="shared" si="14"/>
        <v>6923.3359999999975</v>
      </c>
    </row>
    <row r="53" spans="2:10" s="97" customFormat="1" ht="30" x14ac:dyDescent="0.25">
      <c r="B53" s="675" t="s">
        <v>122</v>
      </c>
      <c r="C53" s="358"/>
      <c r="D53" s="514">
        <f>D52/D48</f>
        <v>6.0098402777777755</v>
      </c>
      <c r="E53" s="515">
        <f t="shared" ref="E53:J53" si="15">E52/E48</f>
        <v>6.0098402777777755</v>
      </c>
      <c r="F53" s="516">
        <f t="shared" si="15"/>
        <v>6.0098402777777755</v>
      </c>
      <c r="G53" s="514">
        <f t="shared" si="15"/>
        <v>8.654169999999997</v>
      </c>
      <c r="H53" s="515">
        <f t="shared" si="15"/>
        <v>8.654169999999997</v>
      </c>
      <c r="I53" s="516">
        <f t="shared" si="15"/>
        <v>8.654169999999997</v>
      </c>
      <c r="J53" s="517">
        <f t="shared" si="15"/>
        <v>7.0935819672131126</v>
      </c>
    </row>
    <row r="54" spans="2:10" s="97" customFormat="1" ht="30" x14ac:dyDescent="0.25">
      <c r="B54" s="675" t="s">
        <v>166</v>
      </c>
      <c r="C54" s="358"/>
      <c r="D54" s="514">
        <f>1732+4.117416*D52</f>
        <v>58744.508839551985</v>
      </c>
      <c r="E54" s="515">
        <f t="shared" ref="E54:J54" si="16">1732+4.117416*E52</f>
        <v>26674.972617303996</v>
      </c>
      <c r="F54" s="516">
        <f t="shared" si="16"/>
        <v>30238.254419775993</v>
      </c>
      <c r="G54" s="514">
        <f t="shared" si="16"/>
        <v>58744.508839551985</v>
      </c>
      <c r="H54" s="515">
        <f t="shared" si="16"/>
        <v>26674.972617303996</v>
      </c>
      <c r="I54" s="516">
        <f t="shared" si="16"/>
        <v>30238.254419775993</v>
      </c>
      <c r="J54" s="517">
        <f t="shared" si="16"/>
        <v>30238.254419775993</v>
      </c>
    </row>
    <row r="55" spans="2:10" s="97" customFormat="1" x14ac:dyDescent="0.25">
      <c r="B55" s="676" t="s">
        <v>167</v>
      </c>
      <c r="C55" s="358"/>
      <c r="D55" s="514">
        <f t="shared" ref="D55:J55" si="17">D54*D46</f>
        <v>15159554662.784246</v>
      </c>
      <c r="E55" s="515">
        <f t="shared" si="17"/>
        <v>7010341235.4967241</v>
      </c>
      <c r="F55" s="516">
        <f t="shared" si="17"/>
        <v>7861946149.141758</v>
      </c>
      <c r="G55" s="514">
        <f t="shared" si="17"/>
        <v>15159554662.784246</v>
      </c>
      <c r="H55" s="515">
        <f t="shared" si="17"/>
        <v>7010341235.4967241</v>
      </c>
      <c r="I55" s="516">
        <f t="shared" si="17"/>
        <v>7861946149.141758</v>
      </c>
      <c r="J55" s="517">
        <f t="shared" si="17"/>
        <v>7861946149.141758</v>
      </c>
    </row>
    <row r="56" spans="2:10" s="97" customFormat="1" x14ac:dyDescent="0.25">
      <c r="B56" s="472" t="s">
        <v>168</v>
      </c>
      <c r="C56" s="358"/>
      <c r="D56" s="514">
        <f t="shared" ref="D56:J56" si="18">D55*D45</f>
        <v>757977733.13921237</v>
      </c>
      <c r="E56" s="515">
        <f t="shared" si="18"/>
        <v>560827298.83973789</v>
      </c>
      <c r="F56" s="516">
        <f t="shared" si="18"/>
        <v>471716768.94850546</v>
      </c>
      <c r="G56" s="514">
        <f t="shared" si="18"/>
        <v>757977733.13921237</v>
      </c>
      <c r="H56" s="515">
        <f t="shared" si="18"/>
        <v>560827298.83973789</v>
      </c>
      <c r="I56" s="516">
        <f t="shared" si="18"/>
        <v>471716768.94850546</v>
      </c>
      <c r="J56" s="517">
        <f t="shared" si="18"/>
        <v>471716768.94850546</v>
      </c>
    </row>
    <row r="57" spans="2:10" s="97" customFormat="1" x14ac:dyDescent="0.25">
      <c r="B57" s="472" t="s">
        <v>169</v>
      </c>
      <c r="C57" s="358"/>
      <c r="D57" s="514">
        <f t="shared" ref="D57:J57" si="19">D56/MIN(D48,$C$16)</f>
        <v>505318.48875947489</v>
      </c>
      <c r="E57" s="515">
        <f t="shared" si="19"/>
        <v>556376.28853148606</v>
      </c>
      <c r="F57" s="516">
        <f t="shared" si="19"/>
        <v>409476.36193446652</v>
      </c>
      <c r="G57" s="514">
        <f t="shared" si="19"/>
        <v>505318.48875947489</v>
      </c>
      <c r="H57" s="515">
        <f t="shared" si="19"/>
        <v>801181.85548533988</v>
      </c>
      <c r="I57" s="516">
        <f t="shared" si="19"/>
        <v>589645.96118563181</v>
      </c>
      <c r="J57" s="517">
        <f t="shared" si="19"/>
        <v>483316.36162756709</v>
      </c>
    </row>
    <row r="58" spans="2:10" x14ac:dyDescent="0.25">
      <c r="B58" s="472" t="s">
        <v>115</v>
      </c>
      <c r="C58" s="358"/>
      <c r="D58" s="518">
        <f>D57/365</f>
        <v>1384.4342157793833</v>
      </c>
      <c r="E58" s="519">
        <f t="shared" ref="E58:J58" si="20">E57/365</f>
        <v>1524.3185987164002</v>
      </c>
      <c r="F58" s="520">
        <f t="shared" si="20"/>
        <v>1121.8530463957986</v>
      </c>
      <c r="G58" s="518">
        <f t="shared" si="20"/>
        <v>1384.4342157793833</v>
      </c>
      <c r="H58" s="519">
        <f t="shared" si="20"/>
        <v>2195.0187821516161</v>
      </c>
      <c r="I58" s="520">
        <f t="shared" si="20"/>
        <v>1615.4683868099501</v>
      </c>
      <c r="J58" s="521">
        <f t="shared" si="20"/>
        <v>1324.1544154179921</v>
      </c>
    </row>
    <row r="59" spans="2:10" ht="30" x14ac:dyDescent="0.25">
      <c r="B59" s="393" t="s">
        <v>124</v>
      </c>
      <c r="C59" s="235"/>
      <c r="D59" s="745">
        <f>D$49*D56</f>
        <v>0</v>
      </c>
      <c r="E59" s="746">
        <f t="shared" ref="E59:J59" si="21">E$49*E56</f>
        <v>560827298.83973789</v>
      </c>
      <c r="F59" s="747">
        <f t="shared" si="21"/>
        <v>471716768.94850546</v>
      </c>
      <c r="G59" s="745">
        <f t="shared" si="21"/>
        <v>0</v>
      </c>
      <c r="H59" s="746">
        <f t="shared" si="21"/>
        <v>1121654597.6794758</v>
      </c>
      <c r="I59" s="747">
        <f t="shared" si="21"/>
        <v>471716768.94850546</v>
      </c>
      <c r="J59" s="748">
        <f t="shared" si="21"/>
        <v>471716768.94850546</v>
      </c>
    </row>
    <row r="60" spans="2:10" ht="30" x14ac:dyDescent="0.25">
      <c r="B60" s="114" t="s">
        <v>125</v>
      </c>
      <c r="C60" s="394"/>
      <c r="D60" s="745">
        <f t="shared" ref="D60:J60" si="22">D$49*D57</f>
        <v>0</v>
      </c>
      <c r="E60" s="746">
        <f t="shared" si="22"/>
        <v>556376.28853148606</v>
      </c>
      <c r="F60" s="747">
        <f t="shared" si="22"/>
        <v>409476.36193446652</v>
      </c>
      <c r="G60" s="745">
        <f t="shared" si="22"/>
        <v>0</v>
      </c>
      <c r="H60" s="746">
        <f t="shared" si="22"/>
        <v>1602363.7109706798</v>
      </c>
      <c r="I60" s="747">
        <f t="shared" si="22"/>
        <v>589645.96118563181</v>
      </c>
      <c r="J60" s="748">
        <f t="shared" si="22"/>
        <v>483316.36162756709</v>
      </c>
    </row>
    <row r="61" spans="2:10" ht="30.75" thickBot="1" x14ac:dyDescent="0.3">
      <c r="B61" s="116" t="s">
        <v>123</v>
      </c>
      <c r="C61" s="395"/>
      <c r="D61" s="749">
        <f t="shared" ref="D61:J61" si="23">D$49*D58</f>
        <v>0</v>
      </c>
      <c r="E61" s="750">
        <f t="shared" si="23"/>
        <v>1524.3185987164002</v>
      </c>
      <c r="F61" s="751">
        <f t="shared" si="23"/>
        <v>1121.8530463957986</v>
      </c>
      <c r="G61" s="749">
        <f t="shared" si="23"/>
        <v>0</v>
      </c>
      <c r="H61" s="750">
        <f t="shared" si="23"/>
        <v>4390.0375643032321</v>
      </c>
      <c r="I61" s="751">
        <f t="shared" si="23"/>
        <v>1615.4683868099501</v>
      </c>
      <c r="J61" s="752">
        <f t="shared" si="23"/>
        <v>1324.1544154179921</v>
      </c>
    </row>
    <row r="62" spans="2:10" ht="15.75" thickBot="1" x14ac:dyDescent="0.3"/>
    <row r="63" spans="2:10" s="97" customFormat="1" ht="15.75" x14ac:dyDescent="0.25">
      <c r="B63" s="878" t="s">
        <v>147</v>
      </c>
      <c r="C63" s="876" t="s">
        <v>10</v>
      </c>
      <c r="D63" s="882" t="s">
        <v>1</v>
      </c>
      <c r="E63" s="883"/>
      <c r="F63" s="884"/>
      <c r="G63" s="882" t="s">
        <v>99</v>
      </c>
      <c r="H63" s="883"/>
      <c r="I63" s="884"/>
      <c r="J63" s="880" t="s">
        <v>112</v>
      </c>
    </row>
    <row r="64" spans="2:10" s="97" customFormat="1" ht="16.5" thickBot="1" x14ac:dyDescent="0.3">
      <c r="B64" s="879"/>
      <c r="C64" s="877"/>
      <c r="D64" s="81" t="s">
        <v>86</v>
      </c>
      <c r="E64" s="82" t="s">
        <v>87</v>
      </c>
      <c r="F64" s="83" t="s">
        <v>112</v>
      </c>
      <c r="G64" s="81" t="s">
        <v>86</v>
      </c>
      <c r="H64" s="82" t="s">
        <v>87</v>
      </c>
      <c r="I64" s="83" t="s">
        <v>112</v>
      </c>
      <c r="J64" s="881"/>
    </row>
    <row r="65" spans="2:11" x14ac:dyDescent="0.25">
      <c r="B65" s="105" t="s">
        <v>0</v>
      </c>
      <c r="C65" s="106"/>
      <c r="D65" s="669">
        <f t="shared" ref="D65:J65" si="24">D45</f>
        <v>0.05</v>
      </c>
      <c r="E65" s="666">
        <f t="shared" si="24"/>
        <v>0.08</v>
      </c>
      <c r="F65" s="667">
        <f t="shared" si="24"/>
        <v>0.06</v>
      </c>
      <c r="G65" s="669">
        <f t="shared" si="24"/>
        <v>0.05</v>
      </c>
      <c r="H65" s="666">
        <f t="shared" si="24"/>
        <v>0.08</v>
      </c>
      <c r="I65" s="667">
        <f t="shared" si="24"/>
        <v>0.06</v>
      </c>
      <c r="J65" s="670">
        <f t="shared" si="24"/>
        <v>0.06</v>
      </c>
    </row>
    <row r="66" spans="2:11" x14ac:dyDescent="0.25">
      <c r="B66" s="107" t="s">
        <v>3</v>
      </c>
      <c r="C66" s="108"/>
      <c r="D66" s="359">
        <f t="shared" ref="D66:J66" si="25">D47</f>
        <v>1.44</v>
      </c>
      <c r="E66" s="320">
        <f t="shared" si="25"/>
        <v>1.44</v>
      </c>
      <c r="F66" s="571">
        <f t="shared" si="25"/>
        <v>1.44</v>
      </c>
      <c r="G66" s="359">
        <f t="shared" si="25"/>
        <v>1</v>
      </c>
      <c r="H66" s="320">
        <f t="shared" si="25"/>
        <v>1</v>
      </c>
      <c r="I66" s="571">
        <f t="shared" si="25"/>
        <v>1</v>
      </c>
      <c r="J66" s="360">
        <f t="shared" si="25"/>
        <v>1.22</v>
      </c>
    </row>
    <row r="67" spans="2:11" ht="30" x14ac:dyDescent="0.25">
      <c r="B67" s="112" t="s">
        <v>141</v>
      </c>
      <c r="C67" s="110"/>
      <c r="D67" s="361">
        <f>TRUNC(25*D66)</f>
        <v>36</v>
      </c>
      <c r="E67" s="362">
        <f t="shared" ref="E67:J67" si="26">TRUNC(25*E66)</f>
        <v>36</v>
      </c>
      <c r="F67" s="363">
        <f t="shared" si="26"/>
        <v>36</v>
      </c>
      <c r="G67" s="361">
        <f t="shared" si="26"/>
        <v>25</v>
      </c>
      <c r="H67" s="362">
        <f t="shared" si="26"/>
        <v>25</v>
      </c>
      <c r="I67" s="363">
        <f t="shared" si="26"/>
        <v>25</v>
      </c>
      <c r="J67" s="364">
        <f t="shared" si="26"/>
        <v>30</v>
      </c>
    </row>
    <row r="68" spans="2:11" ht="30" x14ac:dyDescent="0.25">
      <c r="B68" s="112" t="s">
        <v>142</v>
      </c>
      <c r="C68" s="110"/>
      <c r="D68" s="361">
        <f>TRUNC(35*D66)</f>
        <v>50</v>
      </c>
      <c r="E68" s="362">
        <f t="shared" ref="E68:J68" si="27">TRUNC(35*E66)</f>
        <v>50</v>
      </c>
      <c r="F68" s="363">
        <f t="shared" si="27"/>
        <v>50</v>
      </c>
      <c r="G68" s="361">
        <f t="shared" si="27"/>
        <v>35</v>
      </c>
      <c r="H68" s="362">
        <f t="shared" si="27"/>
        <v>35</v>
      </c>
      <c r="I68" s="363">
        <f t="shared" si="27"/>
        <v>35</v>
      </c>
      <c r="J68" s="364">
        <f t="shared" si="27"/>
        <v>42</v>
      </c>
    </row>
    <row r="69" spans="2:11" ht="30" x14ac:dyDescent="0.25">
      <c r="B69" s="111" t="s">
        <v>143</v>
      </c>
      <c r="C69" s="110"/>
      <c r="D69" s="367">
        <f>TRUNC(80*D66)</f>
        <v>115</v>
      </c>
      <c r="E69" s="368">
        <f t="shared" ref="E69:J69" si="28">TRUNC(80*E66)</f>
        <v>115</v>
      </c>
      <c r="F69" s="369">
        <f t="shared" si="28"/>
        <v>115</v>
      </c>
      <c r="G69" s="367">
        <f t="shared" si="28"/>
        <v>80</v>
      </c>
      <c r="H69" s="368">
        <f t="shared" si="28"/>
        <v>80</v>
      </c>
      <c r="I69" s="369">
        <f t="shared" si="28"/>
        <v>80</v>
      </c>
      <c r="J69" s="370">
        <f t="shared" si="28"/>
        <v>97</v>
      </c>
    </row>
    <row r="70" spans="2:11" x14ac:dyDescent="0.25">
      <c r="B70" s="113" t="s">
        <v>144</v>
      </c>
      <c r="C70" s="110"/>
      <c r="D70" s="361">
        <f t="shared" ref="D70:J70" si="29">TRUNC((MAX(0,$C$16-D49*D48)-D72*D69-D71*D68)/D67)</f>
        <v>0</v>
      </c>
      <c r="E70" s="362">
        <f t="shared" si="29"/>
        <v>0</v>
      </c>
      <c r="F70" s="363">
        <f t="shared" si="29"/>
        <v>0</v>
      </c>
      <c r="G70" s="361">
        <f t="shared" si="29"/>
        <v>1</v>
      </c>
      <c r="H70" s="362">
        <f t="shared" si="29"/>
        <v>0</v>
      </c>
      <c r="I70" s="363">
        <f t="shared" si="29"/>
        <v>1</v>
      </c>
      <c r="J70" s="364">
        <f t="shared" si="29"/>
        <v>1</v>
      </c>
    </row>
    <row r="71" spans="2:11" x14ac:dyDescent="0.25">
      <c r="B71" s="109" t="s">
        <v>145</v>
      </c>
      <c r="C71" s="110"/>
      <c r="D71" s="361">
        <f t="shared" ref="D71:J71" si="30">TRUNC((MAX(0,$C$16-D49*D48)-D72*D69)/D68)</f>
        <v>0</v>
      </c>
      <c r="E71" s="362">
        <f t="shared" si="30"/>
        <v>0</v>
      </c>
      <c r="F71" s="363">
        <f t="shared" si="30"/>
        <v>0</v>
      </c>
      <c r="G71" s="361">
        <f t="shared" si="30"/>
        <v>1</v>
      </c>
      <c r="H71" s="362">
        <f t="shared" si="30"/>
        <v>0</v>
      </c>
      <c r="I71" s="363">
        <f t="shared" si="30"/>
        <v>1</v>
      </c>
      <c r="J71" s="364">
        <f t="shared" si="30"/>
        <v>0</v>
      </c>
    </row>
    <row r="72" spans="2:11" x14ac:dyDescent="0.25">
      <c r="B72" s="109" t="s">
        <v>146</v>
      </c>
      <c r="C72" s="110"/>
      <c r="D72" s="367">
        <f t="shared" ref="D72:J72" si="31">TRUNC(MAX(0,$C$16-D49*D48)/D69)</f>
        <v>13</v>
      </c>
      <c r="E72" s="368">
        <f t="shared" si="31"/>
        <v>4</v>
      </c>
      <c r="F72" s="369">
        <f t="shared" si="31"/>
        <v>3</v>
      </c>
      <c r="G72" s="367">
        <f t="shared" si="31"/>
        <v>18</v>
      </c>
      <c r="H72" s="368">
        <f t="shared" si="31"/>
        <v>1</v>
      </c>
      <c r="I72" s="369">
        <f t="shared" si="31"/>
        <v>8</v>
      </c>
      <c r="J72" s="370">
        <f t="shared" si="31"/>
        <v>5</v>
      </c>
    </row>
    <row r="73" spans="2:11" x14ac:dyDescent="0.25">
      <c r="B73" s="109" t="s">
        <v>160</v>
      </c>
      <c r="C73" s="110"/>
      <c r="D73" s="514">
        <v>0</v>
      </c>
      <c r="E73" s="515">
        <v>0</v>
      </c>
      <c r="F73" s="516">
        <v>0</v>
      </c>
      <c r="G73" s="514">
        <f>G72*G69+G71*G68+G70*G67</f>
        <v>1500</v>
      </c>
      <c r="H73" s="515">
        <f t="shared" ref="H73:J73" si="32">H72*H69+H71*H68+H70*H67</f>
        <v>80</v>
      </c>
      <c r="I73" s="516">
        <f t="shared" si="32"/>
        <v>700</v>
      </c>
      <c r="J73" s="517">
        <f t="shared" si="32"/>
        <v>515</v>
      </c>
      <c r="K73" s="97"/>
    </row>
    <row r="74" spans="2:11" x14ac:dyDescent="0.25">
      <c r="B74" s="109" t="s">
        <v>176</v>
      </c>
      <c r="C74" s="136"/>
      <c r="D74" s="514">
        <f>D51*D73*4.117416</f>
        <v>0</v>
      </c>
      <c r="E74" s="515">
        <f t="shared" ref="E74:J74" si="33">E51*E73*4.117416</f>
        <v>0</v>
      </c>
      <c r="F74" s="516">
        <f t="shared" si="33"/>
        <v>0</v>
      </c>
      <c r="G74" s="514">
        <f t="shared" si="33"/>
        <v>53449.227037079989</v>
      </c>
      <c r="H74" s="515">
        <f t="shared" si="33"/>
        <v>2850.6254419775992</v>
      </c>
      <c r="I74" s="516">
        <f t="shared" si="33"/>
        <v>24942.972617303996</v>
      </c>
      <c r="J74" s="517">
        <f t="shared" si="33"/>
        <v>18350.901282730796</v>
      </c>
      <c r="K74" s="97"/>
    </row>
    <row r="75" spans="2:11" x14ac:dyDescent="0.25">
      <c r="B75" s="109" t="s">
        <v>148</v>
      </c>
      <c r="C75" s="136"/>
      <c r="D75" s="518">
        <v>0</v>
      </c>
      <c r="E75" s="519">
        <v>0</v>
      </c>
      <c r="F75" s="520">
        <v>0</v>
      </c>
      <c r="G75" s="518">
        <f>G72*$C$40+G71*$C$39+G70*$C$38</f>
        <v>3098469716.1799998</v>
      </c>
      <c r="H75" s="519">
        <f>H72*$C$40+H71*$C$39+H70*$C$38</f>
        <v>163322000</v>
      </c>
      <c r="I75" s="520">
        <f>I72*$C$40+I71*$C$39+I70*$C$38</f>
        <v>1465249716.1800001</v>
      </c>
      <c r="J75" s="521">
        <f>J72*$C$40+J71*$C$39+J70*$C$38</f>
        <v>895400716.18000007</v>
      </c>
    </row>
    <row r="76" spans="2:11" x14ac:dyDescent="0.25">
      <c r="B76" s="393" t="s">
        <v>149</v>
      </c>
      <c r="C76" s="235"/>
      <c r="D76" s="745">
        <v>0</v>
      </c>
      <c r="E76" s="746">
        <v>0</v>
      </c>
      <c r="F76" s="747">
        <v>0</v>
      </c>
      <c r="G76" s="745">
        <f>G75*G65</f>
        <v>154923485.80899999</v>
      </c>
      <c r="H76" s="746">
        <f t="shared" ref="H76:J76" si="34">H75*H65</f>
        <v>13065760</v>
      </c>
      <c r="I76" s="747">
        <f t="shared" si="34"/>
        <v>87914982.970799997</v>
      </c>
      <c r="J76" s="748">
        <f t="shared" si="34"/>
        <v>53724042.970800005</v>
      </c>
    </row>
    <row r="77" spans="2:11" x14ac:dyDescent="0.25">
      <c r="B77" s="114" t="s">
        <v>150</v>
      </c>
      <c r="C77" s="394"/>
      <c r="D77" s="745">
        <v>0</v>
      </c>
      <c r="E77" s="746">
        <v>0</v>
      </c>
      <c r="F77" s="747">
        <v>0</v>
      </c>
      <c r="G77" s="745">
        <f>IF(G73&gt;0,G76/G73,0)</f>
        <v>103282.32387266666</v>
      </c>
      <c r="H77" s="746">
        <f t="shared" ref="H77:I77" si="35">IF(H73&gt;0,H76/H73,0)</f>
        <v>163322</v>
      </c>
      <c r="I77" s="747">
        <f t="shared" si="35"/>
        <v>125592.83281542857</v>
      </c>
      <c r="J77" s="748">
        <f t="shared" ref="J77" si="36">J76/$C$16</f>
        <v>35816.028647200001</v>
      </c>
    </row>
    <row r="78" spans="2:11" ht="15.75" thickBot="1" x14ac:dyDescent="0.3">
      <c r="B78" s="116" t="s">
        <v>151</v>
      </c>
      <c r="C78" s="395"/>
      <c r="D78" s="749">
        <v>0</v>
      </c>
      <c r="E78" s="750">
        <v>0</v>
      </c>
      <c r="F78" s="751">
        <v>0</v>
      </c>
      <c r="G78" s="749">
        <f t="shared" ref="G78:J78" si="37">G77/365</f>
        <v>282.96527088401825</v>
      </c>
      <c r="H78" s="750">
        <f t="shared" si="37"/>
        <v>447.45753424657534</v>
      </c>
      <c r="I78" s="751">
        <f t="shared" si="37"/>
        <v>344.08995291898236</v>
      </c>
      <c r="J78" s="752">
        <f t="shared" si="37"/>
        <v>98.126105882739722</v>
      </c>
    </row>
  </sheetData>
  <sheetProtection algorithmName="SHA-512" hashValue="Z9eIgNQ9AImIi7DSrQeaQRqxrrV0531nUhaHlV63y/h9WJIt5KTuFib0FqnTtPj8YZEUeaFNrJqw+hAwn/H+xQ==" saltValue="p9DkZ/bMWLl1NhEX7RmKQw==" spinCount="100000" sheet="1" objects="1" scenarios="1"/>
  <mergeCells count="23">
    <mergeCell ref="B63:B64"/>
    <mergeCell ref="C63:C64"/>
    <mergeCell ref="D63:F63"/>
    <mergeCell ref="G63:I63"/>
    <mergeCell ref="J63:J64"/>
    <mergeCell ref="J42:J43"/>
    <mergeCell ref="D42:F42"/>
    <mergeCell ref="G42:I42"/>
    <mergeCell ref="D2:F2"/>
    <mergeCell ref="G2:I2"/>
    <mergeCell ref="J2:J3"/>
    <mergeCell ref="D9:F9"/>
    <mergeCell ref="G9:I9"/>
    <mergeCell ref="J9:J10"/>
    <mergeCell ref="C31:I31"/>
    <mergeCell ref="C36:I36"/>
    <mergeCell ref="G37:I40"/>
    <mergeCell ref="B9:B10"/>
    <mergeCell ref="C9:C10"/>
    <mergeCell ref="B2:B3"/>
    <mergeCell ref="C2:C3"/>
    <mergeCell ref="B42:B43"/>
    <mergeCell ref="C42:C43"/>
  </mergeCells>
  <pageMargins left="0.7" right="0.7" top="0.75" bottom="0.75" header="0.3" footer="0.3"/>
  <pageSetup orientation="portrait" r:id="rId1"/>
  <ignoredErrors>
    <ignoredError sqref="F38:F40 D65:J65 D66:J6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>
          <x14:formula1>
            <xm:f>'1. Paraméterek - Eredmények'!C50</xm:f>
          </x14:formula1>
          <xm:sqref>C20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3"/>
  <sheetViews>
    <sheetView topLeftCell="B1" zoomScaleNormal="100" workbookViewId="0">
      <selection activeCell="H29" sqref="H29"/>
    </sheetView>
  </sheetViews>
  <sheetFormatPr defaultRowHeight="15" x14ac:dyDescent="0.25"/>
  <cols>
    <col min="1" max="1" width="5.7109375" style="339" customWidth="1"/>
    <col min="2" max="2" width="39.5703125" style="339" customWidth="1"/>
    <col min="3" max="3" width="14.85546875" style="329" customWidth="1"/>
    <col min="4" max="4" width="15.28515625" style="329" customWidth="1"/>
    <col min="5" max="5" width="16.85546875" style="329" bestFit="1" customWidth="1"/>
    <col min="6" max="6" width="14.42578125" style="329" customWidth="1"/>
    <col min="7" max="7" width="14.85546875" style="329" customWidth="1"/>
    <col min="8" max="8" width="15" style="329" customWidth="1"/>
    <col min="9" max="9" width="14.85546875" style="329" customWidth="1"/>
    <col min="10" max="10" width="14.28515625" style="329" customWidth="1"/>
    <col min="11" max="11" width="9.140625" style="329" customWidth="1"/>
    <col min="12" max="12" width="15" style="329" bestFit="1" customWidth="1"/>
    <col min="13" max="16" width="9.140625" style="329"/>
    <col min="17" max="20" width="9.140625" style="338" customWidth="1"/>
    <col min="21" max="16384" width="9.140625" style="329"/>
  </cols>
  <sheetData>
    <row r="1" spans="1:20" ht="15.75" thickBot="1" x14ac:dyDescent="0.3">
      <c r="A1" s="220"/>
      <c r="B1" s="328" t="s">
        <v>265</v>
      </c>
    </row>
    <row r="2" spans="1:20" ht="15.75" customHeight="1" x14ac:dyDescent="0.25">
      <c r="A2" s="220"/>
      <c r="B2" s="853" t="s">
        <v>156</v>
      </c>
      <c r="C2" s="855" t="s">
        <v>10</v>
      </c>
      <c r="D2" s="857" t="s">
        <v>1</v>
      </c>
      <c r="E2" s="858"/>
      <c r="F2" s="859"/>
      <c r="G2" s="857" t="s">
        <v>99</v>
      </c>
      <c r="H2" s="858"/>
      <c r="I2" s="859"/>
      <c r="J2" s="861" t="s">
        <v>112</v>
      </c>
    </row>
    <row r="3" spans="1:20" ht="15.75" thickBot="1" x14ac:dyDescent="0.3">
      <c r="A3" s="220"/>
      <c r="B3" s="854"/>
      <c r="C3" s="856"/>
      <c r="D3" s="288" t="s">
        <v>86</v>
      </c>
      <c r="E3" s="289" t="s">
        <v>87</v>
      </c>
      <c r="F3" s="290" t="s">
        <v>112</v>
      </c>
      <c r="G3" s="288" t="s">
        <v>86</v>
      </c>
      <c r="H3" s="289" t="s">
        <v>87</v>
      </c>
      <c r="I3" s="290" t="s">
        <v>112</v>
      </c>
      <c r="J3" s="862"/>
    </row>
    <row r="4" spans="1:20" ht="30" x14ac:dyDescent="0.25">
      <c r="A4" s="220"/>
      <c r="B4" s="84" t="s">
        <v>222</v>
      </c>
      <c r="C4" s="378">
        <f>C57</f>
        <v>510812353.62658238</v>
      </c>
      <c r="D4" s="753">
        <f>D57</f>
        <v>0</v>
      </c>
      <c r="E4" s="754">
        <f t="shared" ref="E4:J4" si="0">E57</f>
        <v>27530427.677559998</v>
      </c>
      <c r="F4" s="755">
        <f t="shared" si="0"/>
        <v>34931812.368760005</v>
      </c>
      <c r="G4" s="753">
        <f t="shared" si="0"/>
        <v>0</v>
      </c>
      <c r="H4" s="754">
        <f t="shared" si="0"/>
        <v>690516161.43649316</v>
      </c>
      <c r="I4" s="756">
        <f t="shared" si="0"/>
        <v>340686654.4419663</v>
      </c>
      <c r="J4" s="757">
        <f t="shared" si="0"/>
        <v>340686654.4419663</v>
      </c>
      <c r="Q4" s="471"/>
    </row>
    <row r="5" spans="1:20" ht="30" x14ac:dyDescent="0.25">
      <c r="B5" s="84" t="s">
        <v>223</v>
      </c>
      <c r="C5" s="378">
        <f t="shared" ref="C5:C6" si="1">C58</f>
        <v>28150.135215837232</v>
      </c>
      <c r="D5" s="753">
        <f t="shared" ref="D5:I5" si="2">D58*D52*D53/$C$16</f>
        <v>0</v>
      </c>
      <c r="E5" s="754">
        <f t="shared" si="2"/>
        <v>18353.618451706665</v>
      </c>
      <c r="F5" s="755">
        <f t="shared" si="2"/>
        <v>23287.874912506672</v>
      </c>
      <c r="G5" s="753">
        <f t="shared" si="2"/>
        <v>0</v>
      </c>
      <c r="H5" s="754">
        <f t="shared" si="2"/>
        <v>460344.10762432875</v>
      </c>
      <c r="I5" s="755">
        <f t="shared" si="2"/>
        <v>227124.4362946442</v>
      </c>
      <c r="J5" s="757">
        <f t="shared" ref="J5" si="3">J58</f>
        <v>349064.19512496545</v>
      </c>
      <c r="Q5" s="330"/>
      <c r="R5" s="310"/>
      <c r="S5" s="310"/>
      <c r="T5" s="153"/>
    </row>
    <row r="6" spans="1:20" ht="30.75" thickBot="1" x14ac:dyDescent="0.3">
      <c r="B6" s="85" t="s">
        <v>224</v>
      </c>
      <c r="C6" s="379">
        <f t="shared" si="1"/>
        <v>77.123658125581457</v>
      </c>
      <c r="D6" s="758">
        <f>D5/365</f>
        <v>0</v>
      </c>
      <c r="E6" s="759">
        <f t="shared" ref="E6:I6" si="4">E5/365</f>
        <v>50.283886169059357</v>
      </c>
      <c r="F6" s="760">
        <f t="shared" si="4"/>
        <v>63.802397020566225</v>
      </c>
      <c r="G6" s="758">
        <f t="shared" si="4"/>
        <v>0</v>
      </c>
      <c r="H6" s="759">
        <f t="shared" si="4"/>
        <v>1261.216733217339</v>
      </c>
      <c r="I6" s="760">
        <f t="shared" si="4"/>
        <v>622.25872957436763</v>
      </c>
      <c r="J6" s="761">
        <f t="shared" ref="J6" si="5">J59</f>
        <v>956.3402606163437</v>
      </c>
      <c r="Q6" s="220"/>
      <c r="R6" s="336"/>
      <c r="S6" s="336"/>
      <c r="T6" s="336"/>
    </row>
    <row r="7" spans="1:20" x14ac:dyDescent="0.25">
      <c r="B7" s="220"/>
      <c r="C7" s="299"/>
      <c r="D7" s="193"/>
      <c r="E7" s="193"/>
      <c r="G7" s="193"/>
      <c r="H7" s="193"/>
      <c r="I7" s="193"/>
      <c r="J7" s="193"/>
    </row>
    <row r="8" spans="1:20" ht="15.75" thickBot="1" x14ac:dyDescent="0.3">
      <c r="B8" s="330" t="s">
        <v>118</v>
      </c>
      <c r="C8" s="299"/>
      <c r="D8" s="193"/>
      <c r="E8" s="193"/>
      <c r="G8" s="193"/>
      <c r="H8" s="193"/>
      <c r="I8" s="193"/>
      <c r="J8" s="193"/>
    </row>
    <row r="9" spans="1:20" x14ac:dyDescent="0.25">
      <c r="B9" s="853" t="s">
        <v>156</v>
      </c>
      <c r="C9" s="855" t="s">
        <v>10</v>
      </c>
      <c r="D9" s="857" t="s">
        <v>1</v>
      </c>
      <c r="E9" s="858"/>
      <c r="F9" s="859"/>
      <c r="G9" s="857" t="s">
        <v>99</v>
      </c>
      <c r="H9" s="858"/>
      <c r="I9" s="859"/>
      <c r="J9" s="861" t="s">
        <v>112</v>
      </c>
    </row>
    <row r="10" spans="1:20" ht="15.75" thickBot="1" x14ac:dyDescent="0.3">
      <c r="B10" s="854"/>
      <c r="C10" s="856"/>
      <c r="D10" s="288" t="s">
        <v>86</v>
      </c>
      <c r="E10" s="289" t="s">
        <v>87</v>
      </c>
      <c r="F10" s="290" t="s">
        <v>112</v>
      </c>
      <c r="G10" s="288" t="s">
        <v>86</v>
      </c>
      <c r="H10" s="289" t="s">
        <v>87</v>
      </c>
      <c r="I10" s="290" t="s">
        <v>112</v>
      </c>
      <c r="J10" s="862"/>
    </row>
    <row r="11" spans="1:20" ht="30" x14ac:dyDescent="0.25">
      <c r="B11" s="109" t="s">
        <v>222</v>
      </c>
      <c r="C11" s="292"/>
      <c r="D11" s="189"/>
      <c r="E11" s="190"/>
      <c r="F11" s="191"/>
      <c r="G11" s="189"/>
      <c r="H11" s="190"/>
      <c r="I11" s="191"/>
      <c r="J11" s="192"/>
    </row>
    <row r="12" spans="1:20" ht="30" x14ac:dyDescent="0.25">
      <c r="B12" s="109" t="s">
        <v>223</v>
      </c>
      <c r="C12" s="292"/>
      <c r="D12" s="189"/>
      <c r="E12" s="190"/>
      <c r="F12" s="191"/>
      <c r="G12" s="189"/>
      <c r="H12" s="190"/>
      <c r="I12" s="191"/>
      <c r="J12" s="192"/>
    </row>
    <row r="13" spans="1:20" ht="30.75" thickBot="1" x14ac:dyDescent="0.3">
      <c r="B13" s="243" t="s">
        <v>224</v>
      </c>
      <c r="C13" s="381"/>
      <c r="D13" s="382"/>
      <c r="E13" s="383"/>
      <c r="F13" s="384"/>
      <c r="G13" s="382"/>
      <c r="H13" s="383"/>
      <c r="I13" s="384"/>
      <c r="J13" s="195"/>
    </row>
    <row r="14" spans="1:20" x14ac:dyDescent="0.25">
      <c r="B14" s="220"/>
      <c r="C14" s="299"/>
      <c r="D14" s="193"/>
      <c r="E14" s="193"/>
      <c r="F14" s="193"/>
      <c r="G14" s="193"/>
      <c r="H14" s="193"/>
      <c r="I14" s="193"/>
    </row>
    <row r="15" spans="1:20" x14ac:dyDescent="0.25">
      <c r="B15" s="76" t="s">
        <v>56</v>
      </c>
      <c r="C15" s="88"/>
    </row>
    <row r="16" spans="1:20" x14ac:dyDescent="0.25">
      <c r="B16" s="87" t="s">
        <v>11</v>
      </c>
      <c r="C16" s="375">
        <f>'1. Paraméterek - Eredmények'!C33</f>
        <v>1500</v>
      </c>
    </row>
    <row r="17" spans="2:10" x14ac:dyDescent="0.25">
      <c r="B17" s="335"/>
      <c r="C17" s="287"/>
    </row>
    <row r="18" spans="2:10" x14ac:dyDescent="0.25">
      <c r="B18" s="76" t="s">
        <v>228</v>
      </c>
      <c r="C18" s="303"/>
      <c r="D18" s="371"/>
      <c r="E18" s="372"/>
    </row>
    <row r="19" spans="2:10" x14ac:dyDescent="0.25">
      <c r="B19" s="373" t="s">
        <v>37</v>
      </c>
      <c r="C19" s="299"/>
      <c r="D19" s="97"/>
      <c r="E19" s="374"/>
    </row>
    <row r="20" spans="2:10" x14ac:dyDescent="0.25">
      <c r="B20" s="74" t="str">
        <f>'1. Paraméterek - Eredmények'!B52</f>
        <v>Lakásjavítás, -karbantartás árindexe 2005</v>
      </c>
      <c r="C20" s="385">
        <f>'1. Paraméterek - Eredmények'!C52</f>
        <v>1.5292229894556215</v>
      </c>
      <c r="D20" s="97"/>
      <c r="E20" s="374"/>
    </row>
    <row r="21" spans="2:10" x14ac:dyDescent="0.25">
      <c r="B21" s="74" t="str">
        <f>'1. Paraméterek - Eredmények'!B53</f>
        <v>Lakásjavítás, -karbantartás árindexe 2006</v>
      </c>
      <c r="C21" s="385">
        <f>'1. Paraméterek - Eredmények'!C53</f>
        <v>1.4453903492019105</v>
      </c>
      <c r="D21" s="97"/>
      <c r="E21" s="374"/>
    </row>
    <row r="22" spans="2:10" x14ac:dyDescent="0.25">
      <c r="B22" s="373" t="s">
        <v>38</v>
      </c>
      <c r="C22" s="310" t="s">
        <v>54</v>
      </c>
      <c r="D22" s="310" t="s">
        <v>55</v>
      </c>
      <c r="E22" s="311" t="s">
        <v>60</v>
      </c>
    </row>
    <row r="23" spans="2:10" x14ac:dyDescent="0.25">
      <c r="B23" s="74" t="s">
        <v>8</v>
      </c>
      <c r="C23" s="271">
        <f>'1. Paraméterek - Eredmények'!C56</f>
        <v>1600</v>
      </c>
      <c r="D23" s="271">
        <f>'1. Paraméterek - Eredmények'!D56</f>
        <v>700</v>
      </c>
      <c r="E23" s="272">
        <f>'1. Paraméterek - Eredmények'!E56</f>
        <v>800</v>
      </c>
    </row>
    <row r="24" spans="2:10" x14ac:dyDescent="0.25">
      <c r="B24" s="74" t="s">
        <v>0</v>
      </c>
      <c r="C24" s="666">
        <f>'1. Paraméterek - Eredmények'!C57</f>
        <v>0.05</v>
      </c>
      <c r="D24" s="666">
        <f>'1. Paraméterek - Eredmények'!D57</f>
        <v>0.08</v>
      </c>
      <c r="E24" s="667">
        <f>'1. Paraméterek - Eredmények'!E57</f>
        <v>0.06</v>
      </c>
    </row>
    <row r="25" spans="2:10" ht="15.75" thickBot="1" x14ac:dyDescent="0.3">
      <c r="B25" s="121" t="s">
        <v>173</v>
      </c>
      <c r="C25" s="666"/>
      <c r="D25" s="666"/>
      <c r="E25" s="667"/>
    </row>
    <row r="26" spans="2:10" ht="30.75" thickBot="1" x14ac:dyDescent="0.3">
      <c r="B26" s="75" t="s">
        <v>172</v>
      </c>
      <c r="C26" s="387">
        <f>MIN(J43:J44)</f>
        <v>9590.340283843394</v>
      </c>
      <c r="D26" s="387">
        <f>MAX(J43:J44)</f>
        <v>12943.14658431096</v>
      </c>
      <c r="E26" s="681">
        <f>(C26+D26)/2</f>
        <v>11266.743434077176</v>
      </c>
    </row>
    <row r="28" spans="2:10" x14ac:dyDescent="0.25">
      <c r="B28" s="76" t="s">
        <v>227</v>
      </c>
      <c r="C28" s="77" t="s">
        <v>1</v>
      </c>
      <c r="D28" s="77" t="s">
        <v>99</v>
      </c>
      <c r="E28" s="78" t="s">
        <v>60</v>
      </c>
    </row>
    <row r="29" spans="2:10" x14ac:dyDescent="0.25">
      <c r="B29" s="318" t="s">
        <v>3</v>
      </c>
      <c r="C29" s="577">
        <f>'1. Paraméterek - Eredmények'!C60</f>
        <v>1.44</v>
      </c>
      <c r="D29" s="577">
        <f>'1. Paraméterek - Eredmények'!D60</f>
        <v>1</v>
      </c>
      <c r="E29" s="579">
        <f>'1. Paraméterek - Eredmények'!E60</f>
        <v>1.22</v>
      </c>
      <c r="H29" s="97"/>
      <c r="I29" s="97"/>
      <c r="J29" s="97"/>
    </row>
    <row r="30" spans="2:10" x14ac:dyDescent="0.25">
      <c r="B30" s="416" t="s">
        <v>403</v>
      </c>
      <c r="C30" s="577"/>
      <c r="D30" s="577"/>
      <c r="E30" s="579"/>
      <c r="H30" s="97"/>
      <c r="I30" s="97"/>
      <c r="J30" s="97"/>
    </row>
    <row r="31" spans="2:10" ht="15.75" thickBot="1" x14ac:dyDescent="0.3">
      <c r="B31" s="416"/>
      <c r="C31" s="578" t="s">
        <v>400</v>
      </c>
      <c r="D31" s="578" t="s">
        <v>401</v>
      </c>
      <c r="E31" s="580" t="s">
        <v>60</v>
      </c>
      <c r="H31" s="97"/>
      <c r="I31" s="97"/>
      <c r="J31" s="97"/>
    </row>
    <row r="32" spans="2:10" ht="15.75" thickBot="1" x14ac:dyDescent="0.3">
      <c r="B32" s="90" t="s">
        <v>425</v>
      </c>
      <c r="C32" s="581">
        <v>0</v>
      </c>
      <c r="D32" s="581">
        <v>1</v>
      </c>
      <c r="E32" s="671">
        <v>1</v>
      </c>
      <c r="H32" s="97"/>
      <c r="I32" s="97"/>
      <c r="J32" s="97"/>
    </row>
    <row r="33" spans="2:10" x14ac:dyDescent="0.25">
      <c r="B33" s="220"/>
      <c r="C33" s="336"/>
      <c r="D33" s="336"/>
      <c r="E33" s="336"/>
      <c r="F33" s="338"/>
      <c r="G33" s="338"/>
      <c r="H33" s="287"/>
      <c r="I33" s="287"/>
      <c r="J33" s="287"/>
    </row>
    <row r="34" spans="2:10" x14ac:dyDescent="0.25">
      <c r="B34" s="241" t="s">
        <v>393</v>
      </c>
      <c r="C34" s="336"/>
      <c r="D34" s="336"/>
      <c r="E34" s="336"/>
      <c r="F34" s="338"/>
      <c r="G34" s="338"/>
      <c r="H34" s="287"/>
      <c r="I34" s="287"/>
      <c r="J34" s="287"/>
    </row>
    <row r="35" spans="2:10" ht="30" x14ac:dyDescent="0.25">
      <c r="B35" s="388" t="s">
        <v>325</v>
      </c>
      <c r="C35" s="389" t="s">
        <v>89</v>
      </c>
      <c r="D35" s="390" t="s">
        <v>126</v>
      </c>
      <c r="E35" s="390" t="s">
        <v>127</v>
      </c>
      <c r="F35" s="895" t="s">
        <v>128</v>
      </c>
      <c r="G35" s="896"/>
      <c r="H35" s="123"/>
      <c r="I35" s="123"/>
      <c r="J35" s="97"/>
    </row>
    <row r="36" spans="2:10" x14ac:dyDescent="0.25">
      <c r="B36" s="391" t="s">
        <v>152</v>
      </c>
      <c r="C36" s="582">
        <v>1080.0429999999999</v>
      </c>
      <c r="D36" s="582">
        <v>601.97199999999998</v>
      </c>
      <c r="E36" s="582">
        <v>8.5999999999999993E-2</v>
      </c>
      <c r="F36" s="582">
        <v>-165.2311</v>
      </c>
      <c r="G36" s="584">
        <v>2325.317</v>
      </c>
      <c r="H36" s="98"/>
      <c r="I36" s="98"/>
      <c r="J36" s="97"/>
    </row>
    <row r="37" spans="2:10" x14ac:dyDescent="0.25">
      <c r="B37" s="391" t="s">
        <v>153</v>
      </c>
      <c r="C37" s="582">
        <v>-4.1124399999999998E-2</v>
      </c>
      <c r="D37" s="582">
        <v>1.29068E-2</v>
      </c>
      <c r="E37" s="582">
        <v>4.0000000000000001E-3</v>
      </c>
      <c r="F37" s="582">
        <v>-6.7824200000000001E-2</v>
      </c>
      <c r="G37" s="584">
        <v>-1.44245E-2</v>
      </c>
      <c r="H37" s="98"/>
      <c r="I37" s="98"/>
      <c r="J37" s="97"/>
    </row>
    <row r="38" spans="2:10" x14ac:dyDescent="0.25">
      <c r="B38" s="391" t="s">
        <v>154</v>
      </c>
      <c r="C38" s="582">
        <v>-17699.96</v>
      </c>
      <c r="D38" s="582">
        <v>13987.84</v>
      </c>
      <c r="E38" s="582">
        <v>0.218</v>
      </c>
      <c r="F38" s="582">
        <v>-46636.01</v>
      </c>
      <c r="G38" s="584">
        <v>11236.08</v>
      </c>
      <c r="H38" s="98"/>
      <c r="I38" s="98"/>
      <c r="J38" s="97"/>
    </row>
    <row r="39" spans="2:10" x14ac:dyDescent="0.25">
      <c r="B39" s="391" t="s">
        <v>155</v>
      </c>
      <c r="C39" s="582">
        <v>31.990030000000001</v>
      </c>
      <c r="D39" s="582">
        <v>6.8813370000000003</v>
      </c>
      <c r="E39" s="582">
        <v>0</v>
      </c>
      <c r="F39" s="582">
        <v>17.754899999999999</v>
      </c>
      <c r="G39" s="584">
        <v>46.225160000000002</v>
      </c>
      <c r="H39" s="98"/>
      <c r="I39" s="98"/>
      <c r="J39" s="97"/>
    </row>
    <row r="40" spans="2:10" x14ac:dyDescent="0.25">
      <c r="B40" s="392" t="s">
        <v>88</v>
      </c>
      <c r="C40" s="583">
        <v>5776824</v>
      </c>
      <c r="D40" s="583">
        <v>3173047</v>
      </c>
      <c r="E40" s="583">
        <v>8.2000000000000003E-2</v>
      </c>
      <c r="F40" s="583">
        <v>-787124</v>
      </c>
      <c r="G40" s="585">
        <v>12300000</v>
      </c>
      <c r="H40" s="98"/>
      <c r="I40" s="98"/>
      <c r="J40" s="97"/>
    </row>
    <row r="41" spans="2:10" x14ac:dyDescent="0.25">
      <c r="I41" s="340"/>
    </row>
    <row r="42" spans="2:10" ht="60" x14ac:dyDescent="0.25">
      <c r="B42" s="388" t="s">
        <v>165</v>
      </c>
      <c r="C42" s="92" t="s">
        <v>157</v>
      </c>
      <c r="D42" s="92" t="s">
        <v>405</v>
      </c>
      <c r="E42" s="93" t="s">
        <v>104</v>
      </c>
      <c r="F42" s="93" t="s">
        <v>105</v>
      </c>
      <c r="G42" s="93" t="s">
        <v>103</v>
      </c>
      <c r="H42" s="93" t="s">
        <v>109</v>
      </c>
      <c r="I42" s="92" t="s">
        <v>107</v>
      </c>
      <c r="J42" s="94" t="s">
        <v>139</v>
      </c>
    </row>
    <row r="43" spans="2:10" x14ac:dyDescent="0.25">
      <c r="B43" s="95" t="s">
        <v>100</v>
      </c>
      <c r="C43" s="96">
        <f>3714475722/15</f>
        <v>247631714.80000001</v>
      </c>
      <c r="D43" s="96">
        <f>C43*C20</f>
        <v>378684111.19047791</v>
      </c>
      <c r="E43" s="96">
        <v>5968.8</v>
      </c>
      <c r="F43" s="96">
        <v>29257.5</v>
      </c>
      <c r="G43" s="97">
        <v>800</v>
      </c>
      <c r="H43" s="97">
        <v>2005</v>
      </c>
      <c r="I43" s="98">
        <f>C43/F43</f>
        <v>8463.8713082115701</v>
      </c>
      <c r="J43" s="99">
        <f>I43*$C$20</f>
        <v>12943.14658431096</v>
      </c>
    </row>
    <row r="44" spans="2:10" x14ac:dyDescent="0.25">
      <c r="B44" s="100" t="s">
        <v>101</v>
      </c>
      <c r="C44" s="101">
        <f>166163000+80000000</f>
        <v>246163000</v>
      </c>
      <c r="D44" s="101">
        <f>C44*C21</f>
        <v>355801624.53058988</v>
      </c>
      <c r="E44" s="101">
        <v>6893.5</v>
      </c>
      <c r="F44" s="101">
        <v>37100</v>
      </c>
      <c r="G44" s="102">
        <v>700</v>
      </c>
      <c r="H44" s="102">
        <v>2006</v>
      </c>
      <c r="I44" s="103">
        <f>C44/F44</f>
        <v>6635.1212938005392</v>
      </c>
      <c r="J44" s="104">
        <f>I44*$C$21</f>
        <v>9590.340283843394</v>
      </c>
    </row>
    <row r="46" spans="2:10" ht="46.5" customHeight="1" thickBot="1" x14ac:dyDescent="0.3">
      <c r="B46" s="897" t="s">
        <v>402</v>
      </c>
      <c r="C46" s="897"/>
      <c r="D46" s="897"/>
      <c r="E46" s="897"/>
      <c r="F46" s="897"/>
      <c r="G46" s="897"/>
      <c r="H46" s="897"/>
      <c r="I46" s="897"/>
      <c r="J46" s="897"/>
    </row>
    <row r="47" spans="2:10" x14ac:dyDescent="0.25">
      <c r="B47" s="893" t="s">
        <v>156</v>
      </c>
      <c r="C47" s="855" t="s">
        <v>10</v>
      </c>
      <c r="D47" s="857" t="s">
        <v>1</v>
      </c>
      <c r="E47" s="858"/>
      <c r="F47" s="859"/>
      <c r="G47" s="857" t="s">
        <v>99</v>
      </c>
      <c r="H47" s="858"/>
      <c r="I47" s="859"/>
      <c r="J47" s="861" t="s">
        <v>112</v>
      </c>
    </row>
    <row r="48" spans="2:10" ht="15.75" thickBot="1" x14ac:dyDescent="0.3">
      <c r="B48" s="894"/>
      <c r="C48" s="856"/>
      <c r="D48" s="288" t="s">
        <v>86</v>
      </c>
      <c r="E48" s="289" t="s">
        <v>87</v>
      </c>
      <c r="F48" s="290" t="s">
        <v>112</v>
      </c>
      <c r="G48" s="288" t="s">
        <v>86</v>
      </c>
      <c r="H48" s="289" t="s">
        <v>87</v>
      </c>
      <c r="I48" s="290" t="s">
        <v>112</v>
      </c>
      <c r="J48" s="862"/>
    </row>
    <row r="49" spans="1:20" x14ac:dyDescent="0.25">
      <c r="B49" s="105" t="s">
        <v>8</v>
      </c>
      <c r="C49" s="106"/>
      <c r="D49" s="270">
        <f>C$23</f>
        <v>1600</v>
      </c>
      <c r="E49" s="271">
        <f>D$23</f>
        <v>700</v>
      </c>
      <c r="F49" s="272">
        <f>E$23</f>
        <v>800</v>
      </c>
      <c r="G49" s="270">
        <f>C$23</f>
        <v>1600</v>
      </c>
      <c r="H49" s="271">
        <f>D$23</f>
        <v>700</v>
      </c>
      <c r="I49" s="272">
        <f>E$23</f>
        <v>800</v>
      </c>
      <c r="J49" s="274">
        <f>E$23</f>
        <v>800</v>
      </c>
    </row>
    <row r="50" spans="1:20" x14ac:dyDescent="0.25">
      <c r="B50" s="107" t="s">
        <v>3</v>
      </c>
      <c r="C50" s="108"/>
      <c r="D50" s="359">
        <f>$C$29</f>
        <v>1.44</v>
      </c>
      <c r="E50" s="320">
        <f t="shared" ref="E50:F50" si="6">$C$29</f>
        <v>1.44</v>
      </c>
      <c r="F50" s="571">
        <f t="shared" si="6"/>
        <v>1.44</v>
      </c>
      <c r="G50" s="359">
        <f>$D$29</f>
        <v>1</v>
      </c>
      <c r="H50" s="320">
        <f t="shared" ref="H50:I50" si="7">$D$29</f>
        <v>1</v>
      </c>
      <c r="I50" s="571">
        <f t="shared" si="7"/>
        <v>1</v>
      </c>
      <c r="J50" s="360">
        <f>$E$29</f>
        <v>1.22</v>
      </c>
    </row>
    <row r="51" spans="1:20" x14ac:dyDescent="0.25">
      <c r="B51" s="202" t="s">
        <v>170</v>
      </c>
      <c r="C51" s="231"/>
      <c r="D51" s="586">
        <f>'A. Építés'!D$54</f>
        <v>58744.508839551985</v>
      </c>
      <c r="E51" s="587">
        <f>'A. Építés'!E$54</f>
        <v>26674.972617303996</v>
      </c>
      <c r="F51" s="588">
        <f>'A. Építés'!F$54</f>
        <v>30238.254419775993</v>
      </c>
      <c r="G51" s="586">
        <f>'A. Építés'!G$54</f>
        <v>58744.508839551985</v>
      </c>
      <c r="H51" s="587">
        <f>'A. Építés'!H$54</f>
        <v>26674.972617303996</v>
      </c>
      <c r="I51" s="588">
        <f>'A. Építés'!I$54</f>
        <v>30238.254419775993</v>
      </c>
      <c r="J51" s="589">
        <f>'A. Építés'!J$54</f>
        <v>30238.254419775993</v>
      </c>
    </row>
    <row r="52" spans="1:20" x14ac:dyDescent="0.25">
      <c r="B52" s="202" t="s">
        <v>163</v>
      </c>
      <c r="C52" s="231"/>
      <c r="D52" s="402">
        <f>'A. Építés'!D$49</f>
        <v>0</v>
      </c>
      <c r="E52" s="403">
        <f>'A. Építés'!E$49</f>
        <v>1</v>
      </c>
      <c r="F52" s="264">
        <f>'A. Építés'!F$49</f>
        <v>1</v>
      </c>
      <c r="G52" s="402">
        <f>'A. Építés'!G$49</f>
        <v>0</v>
      </c>
      <c r="H52" s="403">
        <f>'A. Építés'!H$49</f>
        <v>2</v>
      </c>
      <c r="I52" s="264">
        <f>'A. Építés'!I$49</f>
        <v>1</v>
      </c>
      <c r="J52" s="404">
        <f>'A. Építés'!J$49</f>
        <v>1</v>
      </c>
    </row>
    <row r="53" spans="1:20" ht="30" x14ac:dyDescent="0.25">
      <c r="B53" s="202" t="s">
        <v>171</v>
      </c>
      <c r="C53" s="231"/>
      <c r="D53" s="586">
        <f>'A. Építés'!D$48</f>
        <v>2304</v>
      </c>
      <c r="E53" s="587">
        <f>'A. Építés'!E$48</f>
        <v>1008</v>
      </c>
      <c r="F53" s="588">
        <f>'A. Építés'!F$48</f>
        <v>1152</v>
      </c>
      <c r="G53" s="586">
        <f>'A. Építés'!G$48</f>
        <v>1600</v>
      </c>
      <c r="H53" s="587">
        <f>'A. Építés'!H$48</f>
        <v>700</v>
      </c>
      <c r="I53" s="588">
        <f>'A. Építés'!I$48</f>
        <v>800</v>
      </c>
      <c r="J53" s="589">
        <f>'A. Építés'!J$48</f>
        <v>976</v>
      </c>
    </row>
    <row r="54" spans="1:20" ht="30" x14ac:dyDescent="0.25">
      <c r="B54" s="202" t="s">
        <v>162</v>
      </c>
      <c r="C54" s="231"/>
      <c r="D54" s="586">
        <f>$C$16-D52*D53</f>
        <v>1500</v>
      </c>
      <c r="E54" s="587">
        <f t="shared" ref="E54:J54" si="8">$C$16-E52*E53</f>
        <v>492</v>
      </c>
      <c r="F54" s="588">
        <f t="shared" si="8"/>
        <v>348</v>
      </c>
      <c r="G54" s="586">
        <f t="shared" si="8"/>
        <v>1500</v>
      </c>
      <c r="H54" s="587">
        <f t="shared" si="8"/>
        <v>100</v>
      </c>
      <c r="I54" s="588">
        <f t="shared" si="8"/>
        <v>700</v>
      </c>
      <c r="J54" s="589">
        <f t="shared" si="8"/>
        <v>524</v>
      </c>
    </row>
    <row r="55" spans="1:20" ht="30" x14ac:dyDescent="0.25">
      <c r="B55" s="105" t="s">
        <v>172</v>
      </c>
      <c r="C55" s="242"/>
      <c r="D55" s="270" t="s">
        <v>174</v>
      </c>
      <c r="E55" s="271" t="s">
        <v>174</v>
      </c>
      <c r="F55" s="272" t="s">
        <v>174</v>
      </c>
      <c r="G55" s="270">
        <f>C$26</f>
        <v>9590.340283843394</v>
      </c>
      <c r="H55" s="271">
        <f>D$26</f>
        <v>12943.14658431096</v>
      </c>
      <c r="I55" s="273">
        <f>E$26</f>
        <v>11266.743434077176</v>
      </c>
      <c r="J55" s="274">
        <f>E$26</f>
        <v>11266.743434077176</v>
      </c>
    </row>
    <row r="56" spans="1:20" x14ac:dyDescent="0.25">
      <c r="B56" s="107" t="s">
        <v>399</v>
      </c>
      <c r="C56" s="108"/>
      <c r="D56" s="280">
        <f>$C$32</f>
        <v>0</v>
      </c>
      <c r="E56" s="279">
        <f t="shared" ref="E56:F56" si="9">$C$32</f>
        <v>0</v>
      </c>
      <c r="F56" s="573">
        <f t="shared" si="9"/>
        <v>0</v>
      </c>
      <c r="G56" s="280">
        <f>$D$32</f>
        <v>1</v>
      </c>
      <c r="H56" s="279">
        <f t="shared" ref="H56:I56" si="10">$D$32</f>
        <v>1</v>
      </c>
      <c r="I56" s="573">
        <f t="shared" si="10"/>
        <v>1</v>
      </c>
      <c r="J56" s="281">
        <f>$E$32</f>
        <v>1</v>
      </c>
    </row>
    <row r="57" spans="1:20" x14ac:dyDescent="0.25">
      <c r="B57" s="393" t="s">
        <v>221</v>
      </c>
      <c r="C57" s="235">
        <v>510812353.62658238</v>
      </c>
      <c r="D57" s="745">
        <f>D52*(MIN(D51,13130)*$C$36+MIN(D51,13130)^2*$C$37+D53*D52*$C$38+(D53*D52)^2*$C$39+$C$40)</f>
        <v>0</v>
      </c>
      <c r="E57" s="746">
        <f t="shared" ref="E57:F57" si="11">E52*(MIN(E51,13130)*$C$36+MIN(E51,13130)^2*$C$37+E53*E52*$C$38+(E53*E52)^2*$C$39+$C$40)</f>
        <v>27530427.677559998</v>
      </c>
      <c r="F57" s="747">
        <f t="shared" si="11"/>
        <v>34931812.368760005</v>
      </c>
      <c r="G57" s="745">
        <f>MAX(G52*(MIN(G51,13130)*$C$36+MIN(G51,13130)^2*$C$37+G53*$C$38+G53^2*$C$39+$C$40),G51*G52*G55)</f>
        <v>0</v>
      </c>
      <c r="H57" s="746">
        <f>MAX(H52*(MIN(H51,13130)*$C$36+MIN(H51,13130)^2*$C$37+H53*$C$38+H53^2*$C$39+$C$40),H51*H52*H55)</f>
        <v>690516161.43649316</v>
      </c>
      <c r="I57" s="747">
        <f>MAX(I52*(MIN(I51,13130)*$C$36+MIN(I51,13130)^2*$C$37+I53*$C$38+I53^2*$C$39+$C$40),I51*I52*I55)</f>
        <v>340686654.4419663</v>
      </c>
      <c r="J57" s="748">
        <f>IF($J$56=0,J73,J87)</f>
        <v>340686654.4419663</v>
      </c>
    </row>
    <row r="58" spans="1:20" x14ac:dyDescent="0.25">
      <c r="B58" s="114" t="s">
        <v>158</v>
      </c>
      <c r="C58" s="394">
        <f>C57/'1. Paraméterek - Eredmények'!$C$38</f>
        <v>28150.135215837232</v>
      </c>
      <c r="D58" s="745">
        <f>IF(D52&gt;0, D57/(D53*D52), 0)</f>
        <v>0</v>
      </c>
      <c r="E58" s="746">
        <f t="shared" ref="E58:I58" si="12">IF(E52&gt;0, E57/(E53*E52), 0)</f>
        <v>27311.932219801583</v>
      </c>
      <c r="F58" s="747">
        <f t="shared" si="12"/>
        <v>30322.753792326392</v>
      </c>
      <c r="G58" s="745">
        <f t="shared" si="12"/>
        <v>0</v>
      </c>
      <c r="H58" s="746">
        <f t="shared" si="12"/>
        <v>493225.82959749509</v>
      </c>
      <c r="I58" s="747">
        <f t="shared" si="12"/>
        <v>425858.31805245788</v>
      </c>
      <c r="J58" s="748">
        <f t="shared" ref="J58:J59" si="13">IF($J$56=0,J74,J88)</f>
        <v>349064.19512496545</v>
      </c>
    </row>
    <row r="59" spans="1:20" ht="15.75" thickBot="1" x14ac:dyDescent="0.3">
      <c r="B59" s="116" t="s">
        <v>159</v>
      </c>
      <c r="C59" s="395">
        <f>C58/365</f>
        <v>77.123658125581457</v>
      </c>
      <c r="D59" s="749">
        <f>D58/365</f>
        <v>0</v>
      </c>
      <c r="E59" s="750">
        <f t="shared" ref="E59:I59" si="14">E58/365</f>
        <v>74.827211561100228</v>
      </c>
      <c r="F59" s="751">
        <f t="shared" si="14"/>
        <v>83.076037787195588</v>
      </c>
      <c r="G59" s="749">
        <f t="shared" si="14"/>
        <v>0</v>
      </c>
      <c r="H59" s="750">
        <f t="shared" si="14"/>
        <v>1351.3036427328632</v>
      </c>
      <c r="I59" s="751">
        <f t="shared" si="14"/>
        <v>1166.7351179519394</v>
      </c>
      <c r="J59" s="762">
        <f t="shared" si="13"/>
        <v>956.3402606163437</v>
      </c>
    </row>
    <row r="60" spans="1:20" s="97" customFormat="1" x14ac:dyDescent="0.25">
      <c r="A60" s="335"/>
      <c r="B60" s="337"/>
      <c r="C60" s="299"/>
      <c r="D60" s="366"/>
      <c r="E60" s="366"/>
      <c r="F60" s="366"/>
      <c r="G60" s="366"/>
      <c r="H60" s="366"/>
      <c r="I60" s="366"/>
      <c r="J60" s="366"/>
      <c r="Q60" s="287"/>
      <c r="R60" s="287"/>
      <c r="S60" s="287"/>
      <c r="T60" s="287"/>
    </row>
    <row r="61" spans="1:20" s="97" customFormat="1" ht="15.75" thickBot="1" x14ac:dyDescent="0.3">
      <c r="A61" s="335"/>
      <c r="B61" s="672" t="s">
        <v>404</v>
      </c>
      <c r="C61" s="299"/>
      <c r="D61" s="366"/>
      <c r="E61" s="366"/>
      <c r="F61" s="366"/>
      <c r="G61" s="366"/>
      <c r="H61" s="366"/>
      <c r="I61" s="366"/>
      <c r="J61" s="366"/>
      <c r="Q61" s="287"/>
      <c r="R61" s="287"/>
      <c r="S61" s="287"/>
      <c r="T61" s="287"/>
    </row>
    <row r="62" spans="1:20" s="97" customFormat="1" x14ac:dyDescent="0.25">
      <c r="A62" s="335"/>
      <c r="B62" s="893" t="s">
        <v>156</v>
      </c>
      <c r="C62" s="855" t="s">
        <v>10</v>
      </c>
      <c r="D62" s="857" t="s">
        <v>1</v>
      </c>
      <c r="E62" s="858"/>
      <c r="F62" s="859"/>
      <c r="G62" s="857" t="s">
        <v>99</v>
      </c>
      <c r="H62" s="858"/>
      <c r="I62" s="859"/>
      <c r="J62" s="861" t="s">
        <v>112</v>
      </c>
      <c r="Q62" s="287"/>
      <c r="R62" s="287"/>
      <c r="S62" s="287"/>
      <c r="T62" s="287"/>
    </row>
    <row r="63" spans="1:20" ht="15.75" thickBot="1" x14ac:dyDescent="0.3">
      <c r="B63" s="894"/>
      <c r="C63" s="856"/>
      <c r="D63" s="288" t="s">
        <v>86</v>
      </c>
      <c r="E63" s="289" t="s">
        <v>87</v>
      </c>
      <c r="F63" s="290" t="s">
        <v>112</v>
      </c>
      <c r="G63" s="288" t="s">
        <v>86</v>
      </c>
      <c r="H63" s="289" t="s">
        <v>87</v>
      </c>
      <c r="I63" s="290" t="s">
        <v>112</v>
      </c>
      <c r="J63" s="862"/>
    </row>
    <row r="64" spans="1:20" x14ac:dyDescent="0.25">
      <c r="B64" s="105" t="s">
        <v>8</v>
      </c>
      <c r="C64" s="106"/>
      <c r="D64" s="270">
        <f>C$23</f>
        <v>1600</v>
      </c>
      <c r="E64" s="271">
        <f>D$23</f>
        <v>700</v>
      </c>
      <c r="F64" s="272">
        <f>E$23</f>
        <v>800</v>
      </c>
      <c r="G64" s="270">
        <f>C$23</f>
        <v>1600</v>
      </c>
      <c r="H64" s="271">
        <f>D$23</f>
        <v>700</v>
      </c>
      <c r="I64" s="272">
        <f>E$23</f>
        <v>800</v>
      </c>
      <c r="J64" s="274">
        <f>E$23</f>
        <v>800</v>
      </c>
    </row>
    <row r="65" spans="1:20" x14ac:dyDescent="0.25">
      <c r="B65" s="107" t="s">
        <v>3</v>
      </c>
      <c r="C65" s="108"/>
      <c r="D65" s="359">
        <f>$C$29</f>
        <v>1.44</v>
      </c>
      <c r="E65" s="320">
        <f t="shared" ref="E65:F65" si="15">$C$29</f>
        <v>1.44</v>
      </c>
      <c r="F65" s="571">
        <f t="shared" si="15"/>
        <v>1.44</v>
      </c>
      <c r="G65" s="359">
        <f>$D$29</f>
        <v>1</v>
      </c>
      <c r="H65" s="320">
        <f t="shared" ref="H65:I65" si="16">$D$29</f>
        <v>1</v>
      </c>
      <c r="I65" s="571">
        <f t="shared" si="16"/>
        <v>1</v>
      </c>
      <c r="J65" s="360">
        <f>$E$29</f>
        <v>1.22</v>
      </c>
    </row>
    <row r="66" spans="1:20" x14ac:dyDescent="0.25">
      <c r="B66" s="202" t="s">
        <v>170</v>
      </c>
      <c r="C66" s="231"/>
      <c r="D66" s="586">
        <f>'A. Építés'!D$54</f>
        <v>58744.508839551985</v>
      </c>
      <c r="E66" s="587">
        <f>'A. Építés'!E$54</f>
        <v>26674.972617303996</v>
      </c>
      <c r="F66" s="588">
        <f>'A. Építés'!F$54</f>
        <v>30238.254419775993</v>
      </c>
      <c r="G66" s="586">
        <f>'A. Építés'!G$54</f>
        <v>58744.508839551985</v>
      </c>
      <c r="H66" s="587">
        <f>'A. Építés'!H$54</f>
        <v>26674.972617303996</v>
      </c>
      <c r="I66" s="588">
        <f>'A. Építés'!I$54</f>
        <v>30238.254419775993</v>
      </c>
      <c r="J66" s="589">
        <f>'A. Építés'!J$54</f>
        <v>30238.254419775993</v>
      </c>
    </row>
    <row r="67" spans="1:20" x14ac:dyDescent="0.25">
      <c r="B67" s="202" t="s">
        <v>163</v>
      </c>
      <c r="C67" s="231"/>
      <c r="D67" s="402">
        <f>'A. Építés'!D$49</f>
        <v>0</v>
      </c>
      <c r="E67" s="403">
        <f>'A. Építés'!E$49</f>
        <v>1</v>
      </c>
      <c r="F67" s="264">
        <f>'A. Építés'!F$49</f>
        <v>1</v>
      </c>
      <c r="G67" s="402">
        <f>'A. Építés'!G$49</f>
        <v>0</v>
      </c>
      <c r="H67" s="403">
        <f>'A. Építés'!H$49</f>
        <v>2</v>
      </c>
      <c r="I67" s="264">
        <f>'A. Építés'!I$49</f>
        <v>1</v>
      </c>
      <c r="J67" s="404">
        <f>'A. Építés'!J$49</f>
        <v>1</v>
      </c>
    </row>
    <row r="68" spans="1:20" s="97" customFormat="1" ht="30" x14ac:dyDescent="0.25">
      <c r="A68" s="335"/>
      <c r="B68" s="202" t="s">
        <v>171</v>
      </c>
      <c r="C68" s="231"/>
      <c r="D68" s="586">
        <f>'A. Építés'!D$48</f>
        <v>2304</v>
      </c>
      <c r="E68" s="587">
        <f>'A. Építés'!E$48</f>
        <v>1008</v>
      </c>
      <c r="F68" s="588">
        <f>'A. Építés'!F$48</f>
        <v>1152</v>
      </c>
      <c r="G68" s="586">
        <f>'A. Építés'!G$48</f>
        <v>1600</v>
      </c>
      <c r="H68" s="587">
        <f>'A. Építés'!H$48</f>
        <v>700</v>
      </c>
      <c r="I68" s="588">
        <f>'A. Építés'!I$48</f>
        <v>800</v>
      </c>
      <c r="J68" s="589">
        <f>'A. Építés'!J$48</f>
        <v>976</v>
      </c>
      <c r="Q68" s="287"/>
      <c r="R68" s="287"/>
      <c r="S68" s="287"/>
      <c r="T68" s="287"/>
    </row>
    <row r="69" spans="1:20" s="97" customFormat="1" ht="30" x14ac:dyDescent="0.25">
      <c r="A69" s="335"/>
      <c r="B69" s="202" t="s">
        <v>162</v>
      </c>
      <c r="C69" s="231"/>
      <c r="D69" s="586">
        <f>$C$16-D67*D68</f>
        <v>1500</v>
      </c>
      <c r="E69" s="587">
        <f t="shared" ref="E69:J69" si="17">$C$16-E67*E68</f>
        <v>492</v>
      </c>
      <c r="F69" s="588">
        <f t="shared" si="17"/>
        <v>348</v>
      </c>
      <c r="G69" s="586">
        <f t="shared" si="17"/>
        <v>1500</v>
      </c>
      <c r="H69" s="587">
        <f t="shared" si="17"/>
        <v>100</v>
      </c>
      <c r="I69" s="588">
        <f t="shared" si="17"/>
        <v>700</v>
      </c>
      <c r="J69" s="589">
        <f t="shared" si="17"/>
        <v>524</v>
      </c>
      <c r="Q69" s="287"/>
      <c r="R69" s="287"/>
      <c r="S69" s="287"/>
      <c r="T69" s="287"/>
    </row>
    <row r="70" spans="1:20" s="287" customFormat="1" x14ac:dyDescent="0.25">
      <c r="A70" s="220"/>
      <c r="B70" s="111" t="s">
        <v>396</v>
      </c>
      <c r="C70" s="292"/>
      <c r="D70" s="514">
        <f>$C$40*D67</f>
        <v>0</v>
      </c>
      <c r="E70" s="515">
        <f t="shared" ref="E70:J70" si="18">$C$40*E67</f>
        <v>5776824</v>
      </c>
      <c r="F70" s="516">
        <f t="shared" si="18"/>
        <v>5776824</v>
      </c>
      <c r="G70" s="514">
        <f t="shared" si="18"/>
        <v>0</v>
      </c>
      <c r="H70" s="515">
        <f t="shared" si="18"/>
        <v>11553648</v>
      </c>
      <c r="I70" s="516">
        <f t="shared" si="18"/>
        <v>5776824</v>
      </c>
      <c r="J70" s="517">
        <f t="shared" si="18"/>
        <v>5776824</v>
      </c>
    </row>
    <row r="71" spans="1:20" s="287" customFormat="1" x14ac:dyDescent="0.25">
      <c r="A71" s="220"/>
      <c r="B71" s="111" t="s">
        <v>397</v>
      </c>
      <c r="C71" s="292"/>
      <c r="D71" s="514">
        <f>D67*($C$36*MIN(D66,13130)+$C$37*MIN(D66,13130)^2)</f>
        <v>0</v>
      </c>
      <c r="E71" s="515">
        <f t="shared" ref="E71:J71" si="19">E67*($C$36*MIN(E66,13130)+$C$37*MIN(E66,13130)^2)</f>
        <v>7091245.515639998</v>
      </c>
      <c r="F71" s="516">
        <f t="shared" si="19"/>
        <v>7091245.515639998</v>
      </c>
      <c r="G71" s="514">
        <f t="shared" si="19"/>
        <v>0</v>
      </c>
      <c r="H71" s="515">
        <f t="shared" si="19"/>
        <v>14182491.031279996</v>
      </c>
      <c r="I71" s="516">
        <f t="shared" si="19"/>
        <v>7091245.515639998</v>
      </c>
      <c r="J71" s="517">
        <f t="shared" si="19"/>
        <v>7091245.515639998</v>
      </c>
    </row>
    <row r="72" spans="1:20" s="287" customFormat="1" x14ac:dyDescent="0.25">
      <c r="A72" s="220"/>
      <c r="B72" s="111" t="s">
        <v>398</v>
      </c>
      <c r="C72" s="292"/>
      <c r="D72" s="514">
        <f>D67*($C$38*D68+$C$39*D68^2)</f>
        <v>0</v>
      </c>
      <c r="E72" s="515">
        <f t="shared" ref="E72:J72" si="20">E67*($C$38*E68+$C$39*E68^2)</f>
        <v>14662358.16192</v>
      </c>
      <c r="F72" s="516">
        <f t="shared" si="20"/>
        <v>22063742.853120003</v>
      </c>
      <c r="G72" s="514">
        <f t="shared" si="20"/>
        <v>0</v>
      </c>
      <c r="H72" s="515">
        <f t="shared" si="20"/>
        <v>6570285.4000000022</v>
      </c>
      <c r="I72" s="516">
        <f t="shared" si="20"/>
        <v>6313651.1999999993</v>
      </c>
      <c r="J72" s="517">
        <f t="shared" si="20"/>
        <v>13197773.857280001</v>
      </c>
    </row>
    <row r="73" spans="1:20" s="97" customFormat="1" x14ac:dyDescent="0.25">
      <c r="A73" s="335"/>
      <c r="B73" s="393" t="s">
        <v>221</v>
      </c>
      <c r="C73" s="235">
        <v>510812353.62658238</v>
      </c>
      <c r="D73" s="745">
        <f t="shared" ref="D73:J73" si="21">D67*(MIN(D66,13130)*$C$36+MIN(D66,13130)^2*$C$37+D68*D67*$C$38+(D68*D67)^2*$C$39+$C$40)</f>
        <v>0</v>
      </c>
      <c r="E73" s="746">
        <f t="shared" si="21"/>
        <v>27530427.677559998</v>
      </c>
      <c r="F73" s="747">
        <f t="shared" si="21"/>
        <v>34931812.368760005</v>
      </c>
      <c r="G73" s="745">
        <f t="shared" si="21"/>
        <v>0</v>
      </c>
      <c r="H73" s="746">
        <f t="shared" si="21"/>
        <v>101577168.63128</v>
      </c>
      <c r="I73" s="747">
        <f t="shared" si="21"/>
        <v>19181720.715639997</v>
      </c>
      <c r="J73" s="748">
        <f t="shared" si="21"/>
        <v>26065843.372919999</v>
      </c>
      <c r="L73" s="398"/>
      <c r="Q73" s="287"/>
      <c r="R73" s="287"/>
      <c r="S73" s="287"/>
      <c r="T73" s="287"/>
    </row>
    <row r="74" spans="1:20" s="97" customFormat="1" x14ac:dyDescent="0.25">
      <c r="A74" s="335"/>
      <c r="B74" s="114" t="s">
        <v>158</v>
      </c>
      <c r="C74" s="763">
        <f>C73/'1. Paraméterek - Eredmények'!$C$38</f>
        <v>28150.135215837232</v>
      </c>
      <c r="D74" s="745">
        <f t="shared" ref="D74:J74" si="22">IF(D67&gt;0, D73/(D68*D67), 0)</f>
        <v>0</v>
      </c>
      <c r="E74" s="746">
        <f t="shared" si="22"/>
        <v>27311.932219801583</v>
      </c>
      <c r="F74" s="747">
        <f t="shared" si="22"/>
        <v>30322.753792326392</v>
      </c>
      <c r="G74" s="745">
        <f t="shared" si="22"/>
        <v>0</v>
      </c>
      <c r="H74" s="746">
        <f t="shared" si="22"/>
        <v>72555.120450914284</v>
      </c>
      <c r="I74" s="747">
        <f t="shared" si="22"/>
        <v>23977.150894549995</v>
      </c>
      <c r="J74" s="748">
        <f t="shared" si="22"/>
        <v>26706.80673454918</v>
      </c>
      <c r="Q74" s="287"/>
      <c r="R74" s="287"/>
      <c r="S74" s="287"/>
      <c r="T74" s="287"/>
    </row>
    <row r="75" spans="1:20" ht="15.75" thickBot="1" x14ac:dyDescent="0.3">
      <c r="B75" s="116" t="s">
        <v>159</v>
      </c>
      <c r="C75" s="764">
        <f>C74/365</f>
        <v>77.123658125581457</v>
      </c>
      <c r="D75" s="749">
        <f>D74/365</f>
        <v>0</v>
      </c>
      <c r="E75" s="750">
        <f t="shared" ref="E75:F75" si="23">E74/365</f>
        <v>74.827211561100228</v>
      </c>
      <c r="F75" s="751">
        <f t="shared" si="23"/>
        <v>83.076037787195588</v>
      </c>
      <c r="G75" s="749">
        <f t="shared" ref="G75:J75" si="24">G74/365</f>
        <v>0</v>
      </c>
      <c r="H75" s="750">
        <f t="shared" si="24"/>
        <v>198.78115192031311</v>
      </c>
      <c r="I75" s="751">
        <f t="shared" si="24"/>
        <v>65.690824368630118</v>
      </c>
      <c r="J75" s="752">
        <f t="shared" si="24"/>
        <v>73.169333519312815</v>
      </c>
    </row>
    <row r="77" spans="1:20" ht="15.75" thickBot="1" x14ac:dyDescent="0.3">
      <c r="B77" s="328" t="s">
        <v>395</v>
      </c>
    </row>
    <row r="78" spans="1:20" x14ac:dyDescent="0.25">
      <c r="B78" s="893" t="s">
        <v>156</v>
      </c>
      <c r="C78" s="855" t="s">
        <v>10</v>
      </c>
      <c r="D78" s="857" t="s">
        <v>1</v>
      </c>
      <c r="E78" s="858"/>
      <c r="F78" s="859"/>
      <c r="G78" s="857" t="s">
        <v>99</v>
      </c>
      <c r="H78" s="858"/>
      <c r="I78" s="859"/>
      <c r="J78" s="861" t="s">
        <v>112</v>
      </c>
    </row>
    <row r="79" spans="1:20" ht="15.75" thickBot="1" x14ac:dyDescent="0.3">
      <c r="B79" s="894"/>
      <c r="C79" s="856"/>
      <c r="D79" s="288" t="s">
        <v>86</v>
      </c>
      <c r="E79" s="289" t="s">
        <v>87</v>
      </c>
      <c r="F79" s="290" t="s">
        <v>112</v>
      </c>
      <c r="G79" s="288" t="s">
        <v>86</v>
      </c>
      <c r="H79" s="289" t="s">
        <v>87</v>
      </c>
      <c r="I79" s="290" t="s">
        <v>112</v>
      </c>
      <c r="J79" s="862"/>
    </row>
    <row r="80" spans="1:20" x14ac:dyDescent="0.25">
      <c r="B80" s="105" t="s">
        <v>8</v>
      </c>
      <c r="C80" s="106"/>
      <c r="D80" s="270">
        <f>C$23</f>
        <v>1600</v>
      </c>
      <c r="E80" s="271">
        <f>D$23</f>
        <v>700</v>
      </c>
      <c r="F80" s="272">
        <f>E$23</f>
        <v>800</v>
      </c>
      <c r="G80" s="270">
        <f>C$23</f>
        <v>1600</v>
      </c>
      <c r="H80" s="271">
        <f>D$23</f>
        <v>700</v>
      </c>
      <c r="I80" s="272">
        <f>E$23</f>
        <v>800</v>
      </c>
      <c r="J80" s="274">
        <f>E$23</f>
        <v>800</v>
      </c>
    </row>
    <row r="81" spans="1:20" x14ac:dyDescent="0.25">
      <c r="B81" s="107" t="s">
        <v>3</v>
      </c>
      <c r="C81" s="108"/>
      <c r="D81" s="359">
        <f>$C$29</f>
        <v>1.44</v>
      </c>
      <c r="E81" s="320">
        <f t="shared" ref="E81:F81" si="25">$C$29</f>
        <v>1.44</v>
      </c>
      <c r="F81" s="571">
        <f t="shared" si="25"/>
        <v>1.44</v>
      </c>
      <c r="G81" s="359">
        <f>$D$29</f>
        <v>1</v>
      </c>
      <c r="H81" s="320">
        <f t="shared" ref="H81:I81" si="26">$D$29</f>
        <v>1</v>
      </c>
      <c r="I81" s="571">
        <f t="shared" si="26"/>
        <v>1</v>
      </c>
      <c r="J81" s="360">
        <f>$E$29</f>
        <v>1.22</v>
      </c>
    </row>
    <row r="82" spans="1:20" x14ac:dyDescent="0.25">
      <c r="B82" s="202" t="s">
        <v>170</v>
      </c>
      <c r="C82" s="231"/>
      <c r="D82" s="402">
        <f>'A. Építés'!D$54</f>
        <v>58744.508839551985</v>
      </c>
      <c r="E82" s="403">
        <f>'A. Építés'!E$54</f>
        <v>26674.972617303996</v>
      </c>
      <c r="F82" s="264">
        <f>'A. Építés'!F$54</f>
        <v>30238.254419775993</v>
      </c>
      <c r="G82" s="402">
        <f>'A. Építés'!G$54</f>
        <v>58744.508839551985</v>
      </c>
      <c r="H82" s="403">
        <f>'A. Építés'!H$54</f>
        <v>26674.972617303996</v>
      </c>
      <c r="I82" s="264">
        <f>'A. Építés'!I$54</f>
        <v>30238.254419775993</v>
      </c>
      <c r="J82" s="404">
        <f>'A. Építés'!J$54</f>
        <v>30238.254419775993</v>
      </c>
    </row>
    <row r="83" spans="1:20" x14ac:dyDescent="0.25">
      <c r="B83" s="202" t="s">
        <v>163</v>
      </c>
      <c r="C83" s="231"/>
      <c r="D83" s="402">
        <f>'A. Építés'!D$49</f>
        <v>0</v>
      </c>
      <c r="E83" s="403">
        <f>'A. Építés'!E$49</f>
        <v>1</v>
      </c>
      <c r="F83" s="264">
        <f>'A. Építés'!F$49</f>
        <v>1</v>
      </c>
      <c r="G83" s="402">
        <f>'A. Építés'!G$49</f>
        <v>0</v>
      </c>
      <c r="H83" s="403">
        <f>'A. Építés'!H$49</f>
        <v>2</v>
      </c>
      <c r="I83" s="264">
        <f>'A. Építés'!I$49</f>
        <v>1</v>
      </c>
      <c r="J83" s="404">
        <f>'A. Építés'!J$49</f>
        <v>1</v>
      </c>
    </row>
    <row r="84" spans="1:20" ht="30" x14ac:dyDescent="0.25">
      <c r="B84" s="202" t="s">
        <v>171</v>
      </c>
      <c r="C84" s="231"/>
      <c r="D84" s="402">
        <f>'A. Építés'!D$48</f>
        <v>2304</v>
      </c>
      <c r="E84" s="403">
        <f>'A. Építés'!E$48</f>
        <v>1008</v>
      </c>
      <c r="F84" s="264">
        <f>'A. Építés'!F$48</f>
        <v>1152</v>
      </c>
      <c r="G84" s="402">
        <f>'A. Építés'!G$48</f>
        <v>1600</v>
      </c>
      <c r="H84" s="403">
        <f>'A. Építés'!H$48</f>
        <v>700</v>
      </c>
      <c r="I84" s="264">
        <f>'A. Építés'!I$48</f>
        <v>800</v>
      </c>
      <c r="J84" s="404">
        <f>'A. Építés'!J$48</f>
        <v>976</v>
      </c>
    </row>
    <row r="85" spans="1:20" ht="30" x14ac:dyDescent="0.25">
      <c r="B85" s="202" t="s">
        <v>162</v>
      </c>
      <c r="C85" s="231"/>
      <c r="D85" s="402">
        <f>$C$16-D83*D84</f>
        <v>1500</v>
      </c>
      <c r="E85" s="403">
        <f t="shared" ref="E85:J85" si="27">$C$16-E83*E84</f>
        <v>492</v>
      </c>
      <c r="F85" s="264">
        <f t="shared" si="27"/>
        <v>348</v>
      </c>
      <c r="G85" s="402">
        <f t="shared" si="27"/>
        <v>1500</v>
      </c>
      <c r="H85" s="403">
        <f t="shared" si="27"/>
        <v>100</v>
      </c>
      <c r="I85" s="264">
        <f t="shared" si="27"/>
        <v>700</v>
      </c>
      <c r="J85" s="404">
        <f t="shared" si="27"/>
        <v>524</v>
      </c>
    </row>
    <row r="86" spans="1:20" ht="30" x14ac:dyDescent="0.25">
      <c r="B86" s="105" t="s">
        <v>172</v>
      </c>
      <c r="C86" s="242"/>
      <c r="D86" s="270">
        <f>C$26</f>
        <v>9590.340283843394</v>
      </c>
      <c r="E86" s="271">
        <f t="shared" ref="E86:F86" si="28">D$26</f>
        <v>12943.14658431096</v>
      </c>
      <c r="F86" s="273">
        <f t="shared" si="28"/>
        <v>11266.743434077176</v>
      </c>
      <c r="G86" s="270">
        <f>C$26</f>
        <v>9590.340283843394</v>
      </c>
      <c r="H86" s="271">
        <f>D$26</f>
        <v>12943.14658431096</v>
      </c>
      <c r="I86" s="273">
        <f>E$26</f>
        <v>11266.743434077176</v>
      </c>
      <c r="J86" s="274">
        <f>E$26</f>
        <v>11266.743434077176</v>
      </c>
    </row>
    <row r="87" spans="1:20" x14ac:dyDescent="0.25">
      <c r="B87" s="393" t="s">
        <v>221</v>
      </c>
      <c r="C87" s="235">
        <v>510812353.62658238</v>
      </c>
      <c r="D87" s="745">
        <f t="shared" ref="D87:F87" si="29">D82*D83*D86</f>
        <v>0</v>
      </c>
      <c r="E87" s="746">
        <f t="shared" si="29"/>
        <v>345258080.71824658</v>
      </c>
      <c r="F87" s="747">
        <f t="shared" si="29"/>
        <v>340686654.4419663</v>
      </c>
      <c r="G87" s="745">
        <f>G82*G83*G86</f>
        <v>0</v>
      </c>
      <c r="H87" s="746">
        <f>H82*H83*H86</f>
        <v>690516161.43649316</v>
      </c>
      <c r="I87" s="747">
        <f t="shared" ref="I87:J87" si="30">I82*I83*I86</f>
        <v>340686654.4419663</v>
      </c>
      <c r="J87" s="748">
        <f t="shared" si="30"/>
        <v>340686654.4419663</v>
      </c>
    </row>
    <row r="88" spans="1:20" s="97" customFormat="1" x14ac:dyDescent="0.25">
      <c r="A88" s="335"/>
      <c r="B88" s="114" t="s">
        <v>158</v>
      </c>
      <c r="C88" s="763">
        <f>C87/'1. Paraméterek - Eredmények'!$C$38</f>
        <v>28150.135215837232</v>
      </c>
      <c r="D88" s="745">
        <f>IF(D83&gt;0, D87/(D84*D83), 0)</f>
        <v>0</v>
      </c>
      <c r="E88" s="746">
        <f t="shared" ref="E88:J88" si="31">IF(E83&gt;0, E87/(E84*E83), 0)</f>
        <v>342517.93722048274</v>
      </c>
      <c r="F88" s="747">
        <f t="shared" si="31"/>
        <v>295734.94309198461</v>
      </c>
      <c r="G88" s="745">
        <f t="shared" si="31"/>
        <v>0</v>
      </c>
      <c r="H88" s="746">
        <f t="shared" si="31"/>
        <v>493225.82959749509</v>
      </c>
      <c r="I88" s="747">
        <f t="shared" si="31"/>
        <v>425858.31805245788</v>
      </c>
      <c r="J88" s="748">
        <f t="shared" si="31"/>
        <v>349064.19512496545</v>
      </c>
      <c r="Q88" s="287"/>
      <c r="R88" s="287"/>
      <c r="S88" s="287"/>
      <c r="T88" s="287"/>
    </row>
    <row r="89" spans="1:20" s="97" customFormat="1" ht="15.75" thickBot="1" x14ac:dyDescent="0.3">
      <c r="A89" s="335"/>
      <c r="B89" s="116" t="s">
        <v>159</v>
      </c>
      <c r="C89" s="764">
        <f>C88/365</f>
        <v>77.123658125581457</v>
      </c>
      <c r="D89" s="749">
        <f>D88/365</f>
        <v>0</v>
      </c>
      <c r="E89" s="750">
        <f t="shared" ref="E89:J89" si="32">E88/365</f>
        <v>938.40530745337742</v>
      </c>
      <c r="F89" s="751">
        <f t="shared" si="32"/>
        <v>810.23272079995786</v>
      </c>
      <c r="G89" s="749">
        <f t="shared" si="32"/>
        <v>0</v>
      </c>
      <c r="H89" s="750">
        <f t="shared" si="32"/>
        <v>1351.3036427328632</v>
      </c>
      <c r="I89" s="751">
        <f t="shared" si="32"/>
        <v>1166.7351179519394</v>
      </c>
      <c r="J89" s="752">
        <f t="shared" si="32"/>
        <v>956.3402606163437</v>
      </c>
      <c r="Q89" s="287"/>
      <c r="R89" s="287"/>
      <c r="S89" s="287"/>
      <c r="T89" s="287"/>
    </row>
    <row r="90" spans="1:20" s="97" customFormat="1" x14ac:dyDescent="0.25">
      <c r="A90" s="335"/>
      <c r="B90" s="152"/>
      <c r="C90" s="511"/>
      <c r="D90" s="405"/>
      <c r="E90" s="405"/>
      <c r="F90" s="405"/>
      <c r="G90" s="405"/>
      <c r="H90" s="405"/>
      <c r="I90" s="405"/>
      <c r="J90" s="405"/>
      <c r="Q90" s="287"/>
      <c r="R90" s="287"/>
      <c r="S90" s="287"/>
      <c r="T90" s="287"/>
    </row>
    <row r="91" spans="1:20" s="97" customFormat="1" ht="45" x14ac:dyDescent="0.25">
      <c r="A91" s="335"/>
      <c r="B91" s="388" t="s">
        <v>165</v>
      </c>
      <c r="C91" s="92" t="s">
        <v>157</v>
      </c>
      <c r="D91" s="92" t="s">
        <v>108</v>
      </c>
      <c r="E91" s="574" t="s">
        <v>394</v>
      </c>
      <c r="F91" s="193"/>
      <c r="G91" s="193"/>
      <c r="H91" s="193"/>
      <c r="I91" s="193"/>
      <c r="J91" s="193"/>
      <c r="Q91" s="287"/>
      <c r="R91" s="287"/>
      <c r="S91" s="287"/>
      <c r="T91" s="287"/>
    </row>
    <row r="92" spans="1:20" s="97" customFormat="1" x14ac:dyDescent="0.25">
      <c r="A92" s="335"/>
      <c r="B92" s="95" t="s">
        <v>100</v>
      </c>
      <c r="C92" s="96">
        <v>247631714.80000001</v>
      </c>
      <c r="D92" s="96">
        <v>5765667419</v>
      </c>
      <c r="E92" s="575">
        <f>C92/D92</f>
        <v>4.2949358123564707E-2</v>
      </c>
      <c r="F92" s="193"/>
      <c r="G92" s="193"/>
      <c r="H92" s="193"/>
      <c r="I92" s="193"/>
      <c r="J92" s="193"/>
      <c r="Q92" s="287"/>
      <c r="R92" s="287"/>
      <c r="S92" s="287"/>
      <c r="T92" s="287"/>
    </row>
    <row r="93" spans="1:20" s="97" customFormat="1" x14ac:dyDescent="0.25">
      <c r="A93" s="335"/>
      <c r="B93" s="100" t="s">
        <v>101</v>
      </c>
      <c r="C93" s="101">
        <v>246163000</v>
      </c>
      <c r="D93" s="101">
        <v>7696000000</v>
      </c>
      <c r="E93" s="576">
        <f>C93/D93</f>
        <v>3.1985836798336796E-2</v>
      </c>
      <c r="F93" s="397"/>
      <c r="G93" s="397"/>
      <c r="H93" s="397"/>
      <c r="I93" s="397"/>
      <c r="J93" s="396"/>
      <c r="Q93" s="287"/>
      <c r="R93" s="287"/>
      <c r="S93" s="287"/>
      <c r="T93" s="287"/>
    </row>
  </sheetData>
  <sheetProtection algorithmName="SHA-512" hashValue="iPZfYq0Ba1wreWCOTbU4UnFDFz+AL+hCQNX848MNAIyygWG6kzuaOx3zXsW1hydRg8gmF8litKaF1V0vB9nhiA==" saltValue="3qhnGGOOEaDREfrZFTORBA==" spinCount="100000" sheet="1" objects="1" scenarios="1"/>
  <mergeCells count="27">
    <mergeCell ref="F35:G35"/>
    <mergeCell ref="J47:J48"/>
    <mergeCell ref="B47:B48"/>
    <mergeCell ref="C47:C48"/>
    <mergeCell ref="D47:F47"/>
    <mergeCell ref="G47:I47"/>
    <mergeCell ref="B46:J46"/>
    <mergeCell ref="B2:B3"/>
    <mergeCell ref="C2:C3"/>
    <mergeCell ref="D2:F2"/>
    <mergeCell ref="G2:I2"/>
    <mergeCell ref="J2:J3"/>
    <mergeCell ref="B9:B10"/>
    <mergeCell ref="C9:C10"/>
    <mergeCell ref="D9:F9"/>
    <mergeCell ref="G9:I9"/>
    <mergeCell ref="J9:J10"/>
    <mergeCell ref="B62:B63"/>
    <mergeCell ref="C62:C63"/>
    <mergeCell ref="D62:F62"/>
    <mergeCell ref="G62:I62"/>
    <mergeCell ref="J62:J63"/>
    <mergeCell ref="B78:B79"/>
    <mergeCell ref="C78:C79"/>
    <mergeCell ref="D78:F78"/>
    <mergeCell ref="G78:I78"/>
    <mergeCell ref="J78:J79"/>
  </mergeCells>
  <dataValidations xWindow="680" yWindow="532" count="2">
    <dataValidation allowBlank="1" showInputMessage="1" showErrorMessage="1" promptTitle="Karbantartás / nm" prompt="Az értékeket a PPP szerződésekből vettük. Az alsó és felső határértékek átlaga 11 267." sqref="E26"/>
    <dataValidation type="whole" allowBlank="1" showInputMessage="1" showErrorMessage="1" errorTitle="Helytelen érték" error="Helytelen értéket adott meg. Válassza a 0 értéket, ha az állami bv. intézetek karbantartási adatai alapján szeretne számolni! Ha a PPP intézetek karbantartási adataival szeretne számolni, válassza az 1 értéket!" promptTitle="Számítási módszer" prompt="Ebben a mezőben határozhatja meg, hogy az egyéni esetnél milyen számítási módot használ. Válassza a 0 értéket, ha az állami bv. intézetek, és az 1 értéket ha a PPP intézetek karbantartási adatai alapján szeretne számolni!" sqref="E32">
      <formula1>0</formula1>
      <formula2>1</formula2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0"/>
  <sheetViews>
    <sheetView topLeftCell="A4" workbookViewId="0">
      <selection activeCell="J27" sqref="J27"/>
    </sheetView>
  </sheetViews>
  <sheetFormatPr defaultRowHeight="15" x14ac:dyDescent="0.25"/>
  <cols>
    <col min="1" max="1" width="5.7109375" style="10" customWidth="1"/>
    <col min="2" max="2" width="39.5703125" style="10" customWidth="1"/>
    <col min="3" max="3" width="14.85546875" style="7" customWidth="1"/>
    <col min="4" max="4" width="15.28515625" style="7" customWidth="1"/>
    <col min="5" max="5" width="16.85546875" style="7" bestFit="1" customWidth="1"/>
    <col min="6" max="6" width="15.42578125" style="7" customWidth="1"/>
    <col min="7" max="7" width="14.85546875" style="7" customWidth="1"/>
    <col min="8" max="8" width="15" style="7" customWidth="1"/>
    <col min="9" max="9" width="16" style="7" customWidth="1"/>
    <col min="10" max="10" width="15.42578125" style="7" customWidth="1"/>
    <col min="11" max="16" width="9.140625" style="7"/>
    <col min="17" max="20" width="29.140625" style="7" customWidth="1"/>
    <col min="21" max="16384" width="9.140625" style="7"/>
  </cols>
  <sheetData>
    <row r="1" spans="1:20" ht="15.75" thickBot="1" x14ac:dyDescent="0.3">
      <c r="A1" s="12"/>
      <c r="B1" s="79" t="s">
        <v>265</v>
      </c>
    </row>
    <row r="2" spans="1:20" ht="15.75" customHeight="1" x14ac:dyDescent="0.25">
      <c r="A2" s="12"/>
      <c r="B2" s="865" t="s">
        <v>185</v>
      </c>
      <c r="C2" s="867" t="s">
        <v>10</v>
      </c>
      <c r="D2" s="869" t="s">
        <v>1</v>
      </c>
      <c r="E2" s="870"/>
      <c r="F2" s="871"/>
      <c r="G2" s="869" t="s">
        <v>99</v>
      </c>
      <c r="H2" s="870"/>
      <c r="I2" s="871"/>
      <c r="J2" s="872" t="s">
        <v>112</v>
      </c>
    </row>
    <row r="3" spans="1:20" ht="15.75" thickBot="1" x14ac:dyDescent="0.3">
      <c r="A3" s="12"/>
      <c r="B3" s="866"/>
      <c r="C3" s="868"/>
      <c r="D3" s="197" t="s">
        <v>86</v>
      </c>
      <c r="E3" s="198" t="s">
        <v>87</v>
      </c>
      <c r="F3" s="199" t="s">
        <v>112</v>
      </c>
      <c r="G3" s="197" t="s">
        <v>86</v>
      </c>
      <c r="H3" s="198" t="s">
        <v>87</v>
      </c>
      <c r="I3" s="199" t="s">
        <v>112</v>
      </c>
      <c r="J3" s="873"/>
    </row>
    <row r="4" spans="1:20" x14ac:dyDescent="0.25">
      <c r="A4" s="12"/>
      <c r="B4" s="70" t="s">
        <v>247</v>
      </c>
      <c r="C4" s="733">
        <v>2713329230</v>
      </c>
      <c r="D4" s="725">
        <f>D41+D44</f>
        <v>0</v>
      </c>
      <c r="E4" s="726">
        <f t="shared" ref="E4:J4" si="0">E41+E44</f>
        <v>179990613.42859536</v>
      </c>
      <c r="F4" s="727">
        <f t="shared" si="0"/>
        <v>201669630.60468039</v>
      </c>
      <c r="G4" s="725">
        <f t="shared" si="0"/>
        <v>325185257.64127576</v>
      </c>
      <c r="H4" s="726">
        <f t="shared" si="0"/>
        <v>377324440.59805876</v>
      </c>
      <c r="I4" s="728">
        <f t="shared" si="0"/>
        <v>353422750.83727574</v>
      </c>
      <c r="J4" s="526">
        <f t="shared" si="0"/>
        <v>313316569.06151843</v>
      </c>
      <c r="Q4" s="10" t="s">
        <v>118</v>
      </c>
    </row>
    <row r="5" spans="1:20" x14ac:dyDescent="0.25">
      <c r="B5" s="70" t="s">
        <v>248</v>
      </c>
      <c r="C5" s="733">
        <f>C4/'1. Paraméterek - Eredmények'!$C$38</f>
        <v>149527.67717403284</v>
      </c>
      <c r="D5" s="725">
        <f t="shared" ref="D5:J5" si="1">D42*D38/$C$16+D45*D40/$C$16</f>
        <v>0</v>
      </c>
      <c r="E5" s="726">
        <f t="shared" si="1"/>
        <v>119993.74228573024</v>
      </c>
      <c r="F5" s="727">
        <f t="shared" si="1"/>
        <v>134446.42040312025</v>
      </c>
      <c r="G5" s="725">
        <f t="shared" si="1"/>
        <v>216790.1717608505</v>
      </c>
      <c r="H5" s="726">
        <f t="shared" si="1"/>
        <v>251549.62706537251</v>
      </c>
      <c r="I5" s="727">
        <f t="shared" si="1"/>
        <v>235615.16722485051</v>
      </c>
      <c r="J5" s="526">
        <f t="shared" si="1"/>
        <v>208877.71270767893</v>
      </c>
      <c r="Q5" s="32" t="s">
        <v>38</v>
      </c>
      <c r="R5" s="5" t="s">
        <v>54</v>
      </c>
      <c r="S5" s="5" t="s">
        <v>55</v>
      </c>
      <c r="T5" s="4" t="s">
        <v>60</v>
      </c>
    </row>
    <row r="6" spans="1:20" ht="15.75" thickBot="1" x14ac:dyDescent="0.3">
      <c r="B6" s="71" t="s">
        <v>249</v>
      </c>
      <c r="C6" s="734">
        <f>C5/365</f>
        <v>409.66486896995298</v>
      </c>
      <c r="D6" s="730">
        <f>D5/365</f>
        <v>0</v>
      </c>
      <c r="E6" s="731">
        <f t="shared" ref="E6:J6" si="2">E5/365</f>
        <v>328.74997886501438</v>
      </c>
      <c r="F6" s="732">
        <f t="shared" si="2"/>
        <v>368.3463572688226</v>
      </c>
      <c r="G6" s="730">
        <f t="shared" si="2"/>
        <v>593.94567605712461</v>
      </c>
      <c r="H6" s="731">
        <f t="shared" si="2"/>
        <v>689.17706045307534</v>
      </c>
      <c r="I6" s="732">
        <f t="shared" si="2"/>
        <v>645.52100609548086</v>
      </c>
      <c r="J6" s="527">
        <f t="shared" si="2"/>
        <v>572.26770604843546</v>
      </c>
      <c r="Q6" s="12" t="s">
        <v>106</v>
      </c>
      <c r="R6" s="31">
        <v>0.01</v>
      </c>
      <c r="S6" s="31">
        <v>0.03</v>
      </c>
      <c r="T6" s="51"/>
    </row>
    <row r="7" spans="1:20" x14ac:dyDescent="0.25">
      <c r="B7" s="12"/>
      <c r="C7" s="2"/>
      <c r="D7" s="3"/>
      <c r="E7" s="3"/>
      <c r="G7" s="3"/>
      <c r="H7" s="3"/>
      <c r="I7" s="3"/>
      <c r="J7" s="3"/>
    </row>
    <row r="8" spans="1:20" ht="15.75" thickBot="1" x14ac:dyDescent="0.3">
      <c r="B8" s="32" t="s">
        <v>118</v>
      </c>
      <c r="C8" s="2"/>
      <c r="D8" s="3"/>
      <c r="E8" s="3"/>
      <c r="G8" s="3"/>
      <c r="H8" s="3"/>
      <c r="I8" s="3"/>
      <c r="J8" s="3"/>
    </row>
    <row r="9" spans="1:20" x14ac:dyDescent="0.25">
      <c r="B9" s="865" t="s">
        <v>185</v>
      </c>
      <c r="C9" s="867" t="s">
        <v>10</v>
      </c>
      <c r="D9" s="869" t="s">
        <v>1</v>
      </c>
      <c r="E9" s="870"/>
      <c r="F9" s="871"/>
      <c r="G9" s="869" t="s">
        <v>99</v>
      </c>
      <c r="H9" s="870"/>
      <c r="I9" s="871"/>
      <c r="J9" s="872" t="s">
        <v>112</v>
      </c>
    </row>
    <row r="10" spans="1:20" ht="15.75" thickBot="1" x14ac:dyDescent="0.3">
      <c r="B10" s="866"/>
      <c r="C10" s="868"/>
      <c r="D10" s="197" t="s">
        <v>86</v>
      </c>
      <c r="E10" s="198" t="s">
        <v>87</v>
      </c>
      <c r="F10" s="199" t="s">
        <v>112</v>
      </c>
      <c r="G10" s="197" t="s">
        <v>86</v>
      </c>
      <c r="H10" s="198" t="s">
        <v>87</v>
      </c>
      <c r="I10" s="199" t="s">
        <v>112</v>
      </c>
      <c r="J10" s="873"/>
    </row>
    <row r="11" spans="1:20" x14ac:dyDescent="0.25">
      <c r="B11" s="54" t="s">
        <v>247</v>
      </c>
      <c r="C11" s="48"/>
      <c r="D11" s="212"/>
      <c r="E11" s="213"/>
      <c r="F11" s="214"/>
      <c r="G11" s="212"/>
      <c r="H11" s="213"/>
      <c r="I11" s="214"/>
      <c r="J11" s="215"/>
    </row>
    <row r="12" spans="1:20" x14ac:dyDescent="0.25">
      <c r="B12" s="54" t="s">
        <v>248</v>
      </c>
      <c r="C12" s="48"/>
      <c r="D12" s="212"/>
      <c r="E12" s="213"/>
      <c r="F12" s="214"/>
      <c r="G12" s="212"/>
      <c r="H12" s="213"/>
      <c r="I12" s="214"/>
      <c r="J12" s="215"/>
    </row>
    <row r="13" spans="1:20" ht="15.75" thickBot="1" x14ac:dyDescent="0.3">
      <c r="B13" s="55" t="s">
        <v>249</v>
      </c>
      <c r="C13" s="53"/>
      <c r="D13" s="216"/>
      <c r="E13" s="217"/>
      <c r="F13" s="218"/>
      <c r="G13" s="216"/>
      <c r="H13" s="217"/>
      <c r="I13" s="218"/>
      <c r="J13" s="219"/>
    </row>
    <row r="14" spans="1:20" x14ac:dyDescent="0.25">
      <c r="B14" s="12"/>
      <c r="C14" s="2"/>
      <c r="D14" s="3"/>
      <c r="E14" s="3"/>
      <c r="F14" s="3"/>
      <c r="G14" s="3"/>
      <c r="H14" s="3"/>
      <c r="I14" s="3"/>
    </row>
    <row r="15" spans="1:20" x14ac:dyDescent="0.25">
      <c r="B15" s="60" t="s">
        <v>56</v>
      </c>
      <c r="C15" s="62"/>
    </row>
    <row r="16" spans="1:20" x14ac:dyDescent="0.25">
      <c r="B16" s="61" t="s">
        <v>11</v>
      </c>
      <c r="C16" s="375">
        <f>'1. Paraméterek - Eredmények'!C33</f>
        <v>1500</v>
      </c>
    </row>
    <row r="17" spans="2:10" x14ac:dyDescent="0.25">
      <c r="B17" s="56"/>
      <c r="C17" s="1"/>
    </row>
    <row r="18" spans="2:10" x14ac:dyDescent="0.25">
      <c r="B18" s="60" t="s">
        <v>228</v>
      </c>
      <c r="C18" s="244"/>
      <c r="D18" s="150"/>
      <c r="E18" s="151"/>
    </row>
    <row r="19" spans="2:10" x14ac:dyDescent="0.25">
      <c r="B19" s="376" t="s">
        <v>37</v>
      </c>
      <c r="C19" s="2"/>
      <c r="D19" s="13"/>
      <c r="E19" s="134"/>
    </row>
    <row r="20" spans="2:10" x14ac:dyDescent="0.25">
      <c r="B20" s="67" t="str">
        <f>'1. Paraméterek - Eredmények'!B50</f>
        <v>Építőipari költségalapú árindex 2005</v>
      </c>
      <c r="C20" s="400">
        <f>'1. Paraméterek - Eredmények'!C50</f>
        <v>1.3335914494188683</v>
      </c>
      <c r="D20" s="13"/>
      <c r="E20" s="134"/>
    </row>
    <row r="21" spans="2:10" x14ac:dyDescent="0.25">
      <c r="B21" s="67" t="str">
        <f>'1. Paraméterek - Eredmények'!B51</f>
        <v>Építőipari költségalapú árindex 2006</v>
      </c>
      <c r="C21" s="400">
        <f>'1. Paraméterek - Eredmények'!C51</f>
        <v>1.2440218744578992</v>
      </c>
      <c r="D21" s="13"/>
      <c r="E21" s="134"/>
    </row>
    <row r="22" spans="2:10" x14ac:dyDescent="0.25">
      <c r="B22" s="376" t="s">
        <v>38</v>
      </c>
      <c r="C22" s="5" t="s">
        <v>54</v>
      </c>
      <c r="D22" s="5" t="s">
        <v>55</v>
      </c>
      <c r="E22" s="245" t="s">
        <v>60</v>
      </c>
    </row>
    <row r="23" spans="2:10" x14ac:dyDescent="0.25">
      <c r="B23" s="72" t="s">
        <v>8</v>
      </c>
      <c r="C23" s="353">
        <f>'1. Paraméterek - Eredmények'!C56</f>
        <v>1600</v>
      </c>
      <c r="D23" s="353">
        <f>'1. Paraméterek - Eredmények'!D56</f>
        <v>700</v>
      </c>
      <c r="E23" s="377">
        <f>'1. Paraméterek - Eredmények'!E56</f>
        <v>800</v>
      </c>
    </row>
    <row r="24" spans="2:10" x14ac:dyDescent="0.25">
      <c r="B24" s="50"/>
      <c r="C24" s="52"/>
      <c r="D24" s="52"/>
      <c r="E24" s="52"/>
    </row>
    <row r="25" spans="2:10" x14ac:dyDescent="0.25">
      <c r="B25" s="60" t="s">
        <v>227</v>
      </c>
      <c r="C25" s="63" t="s">
        <v>1</v>
      </c>
      <c r="D25" s="63" t="s">
        <v>99</v>
      </c>
      <c r="E25" s="64" t="s">
        <v>60</v>
      </c>
    </row>
    <row r="26" spans="2:10" x14ac:dyDescent="0.25">
      <c r="B26" s="68" t="s">
        <v>3</v>
      </c>
      <c r="C26" s="284">
        <f>'1. Paraméterek - Eredmények'!C60</f>
        <v>1.44</v>
      </c>
      <c r="D26" s="284">
        <f>'1. Paraméterek - Eredmények'!D60</f>
        <v>1</v>
      </c>
      <c r="E26" s="285">
        <f>'1. Paraméterek - Eredmények'!E60</f>
        <v>1.22</v>
      </c>
      <c r="H26" s="13"/>
      <c r="I26" s="13"/>
      <c r="J26" s="13"/>
    </row>
    <row r="27" spans="2:10" x14ac:dyDescent="0.25">
      <c r="B27" s="12"/>
      <c r="C27" s="46"/>
      <c r="D27" s="46"/>
      <c r="E27" s="46"/>
      <c r="F27" s="17"/>
      <c r="G27" s="17"/>
      <c r="H27" s="1"/>
      <c r="I27" s="1"/>
      <c r="J27" s="1"/>
    </row>
    <row r="28" spans="2:10" ht="30" x14ac:dyDescent="0.25">
      <c r="B28" s="118" t="s">
        <v>325</v>
      </c>
      <c r="C28" s="120" t="s">
        <v>89</v>
      </c>
      <c r="D28" s="119" t="s">
        <v>126</v>
      </c>
      <c r="E28" s="119" t="s">
        <v>127</v>
      </c>
      <c r="F28" s="898" t="s">
        <v>128</v>
      </c>
      <c r="G28" s="899"/>
      <c r="H28" s="132"/>
      <c r="I28" s="132"/>
      <c r="J28" s="13"/>
    </row>
    <row r="29" spans="2:10" x14ac:dyDescent="0.25">
      <c r="B29" s="133" t="s">
        <v>152</v>
      </c>
      <c r="C29" s="582">
        <v>6084.0029999999997</v>
      </c>
      <c r="D29" s="582">
        <v>1129.192</v>
      </c>
      <c r="E29" s="582">
        <v>0</v>
      </c>
      <c r="F29" s="582">
        <v>3758.3890000000001</v>
      </c>
      <c r="G29" s="584">
        <v>8409.616</v>
      </c>
      <c r="H29" s="69"/>
      <c r="I29" s="69"/>
      <c r="J29" s="13"/>
    </row>
    <row r="30" spans="2:10" x14ac:dyDescent="0.25">
      <c r="B30" s="135" t="s">
        <v>88</v>
      </c>
      <c r="C30" s="583">
        <v>17700000</v>
      </c>
      <c r="D30" s="583">
        <v>20200000</v>
      </c>
      <c r="E30" s="583">
        <v>0.39</v>
      </c>
      <c r="F30" s="583">
        <v>-23900000</v>
      </c>
      <c r="G30" s="585">
        <v>59200000</v>
      </c>
      <c r="H30" s="69"/>
      <c r="I30" s="69"/>
      <c r="J30" s="13"/>
    </row>
    <row r="31" spans="2:10" ht="15.75" thickBot="1" x14ac:dyDescent="0.3"/>
    <row r="32" spans="2:10" x14ac:dyDescent="0.25">
      <c r="B32" s="900" t="s">
        <v>175</v>
      </c>
      <c r="C32" s="867" t="s">
        <v>10</v>
      </c>
      <c r="D32" s="869" t="s">
        <v>1</v>
      </c>
      <c r="E32" s="870"/>
      <c r="F32" s="871"/>
      <c r="G32" s="869" t="s">
        <v>99</v>
      </c>
      <c r="H32" s="870"/>
      <c r="I32" s="871"/>
      <c r="J32" s="872" t="s">
        <v>112</v>
      </c>
    </row>
    <row r="33" spans="2:10" ht="15.75" thickBot="1" x14ac:dyDescent="0.3">
      <c r="B33" s="901"/>
      <c r="C33" s="868"/>
      <c r="D33" s="197" t="s">
        <v>86</v>
      </c>
      <c r="E33" s="198" t="s">
        <v>87</v>
      </c>
      <c r="F33" s="199" t="s">
        <v>112</v>
      </c>
      <c r="G33" s="197" t="s">
        <v>86</v>
      </c>
      <c r="H33" s="198" t="s">
        <v>87</v>
      </c>
      <c r="I33" s="199" t="s">
        <v>112</v>
      </c>
      <c r="J33" s="873"/>
    </row>
    <row r="34" spans="2:10" x14ac:dyDescent="0.25">
      <c r="B34" s="105" t="s">
        <v>8</v>
      </c>
      <c r="C34" s="106"/>
      <c r="D34" s="270">
        <f>C23</f>
        <v>1600</v>
      </c>
      <c r="E34" s="271">
        <f t="shared" ref="E34:F34" si="3">D23</f>
        <v>700</v>
      </c>
      <c r="F34" s="272">
        <f t="shared" si="3"/>
        <v>800</v>
      </c>
      <c r="G34" s="270">
        <f>C23</f>
        <v>1600</v>
      </c>
      <c r="H34" s="271">
        <f t="shared" ref="H34:I34" si="4">D23</f>
        <v>700</v>
      </c>
      <c r="I34" s="272">
        <f t="shared" si="4"/>
        <v>800</v>
      </c>
      <c r="J34" s="274">
        <f>E23</f>
        <v>800</v>
      </c>
    </row>
    <row r="35" spans="2:10" x14ac:dyDescent="0.25">
      <c r="B35" s="107" t="s">
        <v>3</v>
      </c>
      <c r="C35" s="108"/>
      <c r="D35" s="359">
        <f>$C$26</f>
        <v>1.44</v>
      </c>
      <c r="E35" s="320">
        <f t="shared" ref="E35:F35" si="5">$C$26</f>
        <v>1.44</v>
      </c>
      <c r="F35" s="571">
        <f t="shared" si="5"/>
        <v>1.44</v>
      </c>
      <c r="G35" s="359">
        <f>$D$26</f>
        <v>1</v>
      </c>
      <c r="H35" s="320">
        <f t="shared" ref="H35:I35" si="6">$D$26</f>
        <v>1</v>
      </c>
      <c r="I35" s="571">
        <f t="shared" si="6"/>
        <v>1</v>
      </c>
      <c r="J35" s="360">
        <f>E26</f>
        <v>1.22</v>
      </c>
    </row>
    <row r="36" spans="2:10" x14ac:dyDescent="0.25">
      <c r="B36" s="202" t="s">
        <v>170</v>
      </c>
      <c r="C36" s="231"/>
      <c r="D36" s="266">
        <f>'A. Építés'!D54</f>
        <v>58744.508839551985</v>
      </c>
      <c r="E36" s="267">
        <f>'A. Építés'!E54</f>
        <v>26674.972617303996</v>
      </c>
      <c r="F36" s="401">
        <f>'A. Építés'!F54</f>
        <v>30238.254419775993</v>
      </c>
      <c r="G36" s="266">
        <f>'A. Építés'!G54</f>
        <v>58744.508839551985</v>
      </c>
      <c r="H36" s="267">
        <f>'A. Építés'!H54</f>
        <v>26674.972617303996</v>
      </c>
      <c r="I36" s="401">
        <f>'A. Építés'!I54</f>
        <v>30238.254419775993</v>
      </c>
      <c r="J36" s="269">
        <f>'A. Építés'!J54</f>
        <v>30238.254419775993</v>
      </c>
    </row>
    <row r="37" spans="2:10" x14ac:dyDescent="0.25">
      <c r="B37" s="202" t="s">
        <v>163</v>
      </c>
      <c r="C37" s="231"/>
      <c r="D37" s="262">
        <f>'A. Építés'!D49</f>
        <v>0</v>
      </c>
      <c r="E37" s="263">
        <f>'A. Építés'!E49</f>
        <v>1</v>
      </c>
      <c r="F37" s="264">
        <f>'A. Építés'!F49</f>
        <v>1</v>
      </c>
      <c r="G37" s="262">
        <f>'A. Építés'!G49</f>
        <v>0</v>
      </c>
      <c r="H37" s="263">
        <f>'A. Építés'!H49</f>
        <v>2</v>
      </c>
      <c r="I37" s="264">
        <f>'A. Építés'!I49</f>
        <v>1</v>
      </c>
      <c r="J37" s="265">
        <f>'A. Építés'!J49</f>
        <v>1</v>
      </c>
    </row>
    <row r="38" spans="2:10" ht="30" x14ac:dyDescent="0.25">
      <c r="B38" s="202" t="s">
        <v>183</v>
      </c>
      <c r="C38" s="232"/>
      <c r="D38" s="262">
        <f>'A. Építés'!D50</f>
        <v>0</v>
      </c>
      <c r="E38" s="263">
        <f>'A. Építés'!E50</f>
        <v>1008</v>
      </c>
      <c r="F38" s="264">
        <f>'A. Építés'!F50</f>
        <v>1152</v>
      </c>
      <c r="G38" s="262">
        <f>'A. Építés'!G50</f>
        <v>0</v>
      </c>
      <c r="H38" s="263">
        <f>'A. Építés'!H50</f>
        <v>1400</v>
      </c>
      <c r="I38" s="264">
        <f>'A. Építés'!I50</f>
        <v>800</v>
      </c>
      <c r="J38" s="265">
        <f>'A. Építés'!J50</f>
        <v>976</v>
      </c>
    </row>
    <row r="39" spans="2:10" x14ac:dyDescent="0.25">
      <c r="B39" s="202" t="s">
        <v>176</v>
      </c>
      <c r="C39" s="232"/>
      <c r="D39" s="402">
        <f>'A. Építés'!D74</f>
        <v>0</v>
      </c>
      <c r="E39" s="403">
        <f>'A. Építés'!E74</f>
        <v>0</v>
      </c>
      <c r="F39" s="264">
        <f>'A. Építés'!F74</f>
        <v>0</v>
      </c>
      <c r="G39" s="402">
        <f>'A. Építés'!G74</f>
        <v>53449.227037079989</v>
      </c>
      <c r="H39" s="403">
        <f>'A. Építés'!H74</f>
        <v>2850.6254419775992</v>
      </c>
      <c r="I39" s="264">
        <f>'A. Építés'!I74</f>
        <v>24942.972617303996</v>
      </c>
      <c r="J39" s="404">
        <f>'A. Építés'!J74</f>
        <v>18350.901282730796</v>
      </c>
    </row>
    <row r="40" spans="2:10" ht="30" x14ac:dyDescent="0.25">
      <c r="B40" s="202" t="s">
        <v>184</v>
      </c>
      <c r="C40" s="232"/>
      <c r="D40" s="262">
        <f>'A. Építés'!D73</f>
        <v>0</v>
      </c>
      <c r="E40" s="263">
        <f>'A. Építés'!E73</f>
        <v>0</v>
      </c>
      <c r="F40" s="264">
        <f>'A. Építés'!F73</f>
        <v>0</v>
      </c>
      <c r="G40" s="262">
        <f>'A. Építés'!G73</f>
        <v>1500</v>
      </c>
      <c r="H40" s="263">
        <f>'A. Építés'!H73</f>
        <v>80</v>
      </c>
      <c r="I40" s="264">
        <f>'A. Építés'!I73</f>
        <v>700</v>
      </c>
      <c r="J40" s="265">
        <f>'A. Építés'!J73</f>
        <v>515</v>
      </c>
    </row>
    <row r="41" spans="2:10" x14ac:dyDescent="0.25">
      <c r="B41" s="233" t="s">
        <v>177</v>
      </c>
      <c r="C41" s="110"/>
      <c r="D41" s="765">
        <f>D37*($C$30+D36*$C$29)</f>
        <v>0</v>
      </c>
      <c r="E41" s="766">
        <f t="shared" ref="E41:J41" si="7">E37*($C$30+E36*$C$29)</f>
        <v>179990613.42859536</v>
      </c>
      <c r="F41" s="766">
        <f t="shared" si="7"/>
        <v>201669630.60468039</v>
      </c>
      <c r="G41" s="765">
        <f t="shared" si="7"/>
        <v>0</v>
      </c>
      <c r="H41" s="766">
        <f t="shared" si="7"/>
        <v>359981226.85719073</v>
      </c>
      <c r="I41" s="767">
        <f t="shared" si="7"/>
        <v>201669630.60468039</v>
      </c>
      <c r="J41" s="768">
        <f t="shared" si="7"/>
        <v>201669630.60468039</v>
      </c>
    </row>
    <row r="42" spans="2:10" x14ac:dyDescent="0.25">
      <c r="B42" s="114" t="s">
        <v>178</v>
      </c>
      <c r="C42" s="110"/>
      <c r="D42" s="765">
        <f>IF(D38&gt;0,D41/D38,0)</f>
        <v>0</v>
      </c>
      <c r="E42" s="766">
        <f t="shared" ref="E42:J42" si="8">IF(E38&gt;0,E41/E38,0)</f>
        <v>178562.11649662239</v>
      </c>
      <c r="F42" s="766">
        <f t="shared" si="8"/>
        <v>175060.44323322951</v>
      </c>
      <c r="G42" s="765">
        <f t="shared" si="8"/>
        <v>0</v>
      </c>
      <c r="H42" s="766">
        <f t="shared" si="8"/>
        <v>257129.44775513624</v>
      </c>
      <c r="I42" s="767">
        <f t="shared" si="8"/>
        <v>252087.03825585049</v>
      </c>
      <c r="J42" s="768">
        <f t="shared" si="8"/>
        <v>206628.71988184465</v>
      </c>
    </row>
    <row r="43" spans="2:10" x14ac:dyDescent="0.25">
      <c r="B43" s="114" t="s">
        <v>179</v>
      </c>
      <c r="C43" s="110"/>
      <c r="D43" s="765">
        <f>D42/365</f>
        <v>0</v>
      </c>
      <c r="E43" s="766">
        <f t="shared" ref="E43:J43" si="9">E42/365</f>
        <v>489.21127807293806</v>
      </c>
      <c r="F43" s="766">
        <f t="shared" si="9"/>
        <v>479.61765269377946</v>
      </c>
      <c r="G43" s="765">
        <f t="shared" si="9"/>
        <v>0</v>
      </c>
      <c r="H43" s="766">
        <f t="shared" si="9"/>
        <v>704.46424042503077</v>
      </c>
      <c r="I43" s="767">
        <f t="shared" si="9"/>
        <v>690.6494198790424</v>
      </c>
      <c r="J43" s="768">
        <f t="shared" si="9"/>
        <v>566.10608186806758</v>
      </c>
    </row>
    <row r="44" spans="2:10" x14ac:dyDescent="0.25">
      <c r="B44" s="233" t="s">
        <v>180</v>
      </c>
      <c r="C44" s="115"/>
      <c r="D44" s="765">
        <f>D39*$C$29</f>
        <v>0</v>
      </c>
      <c r="E44" s="766">
        <f t="shared" ref="E44:J44" si="10">E39*$C$29</f>
        <v>0</v>
      </c>
      <c r="F44" s="766">
        <f t="shared" si="10"/>
        <v>0</v>
      </c>
      <c r="G44" s="765">
        <f t="shared" si="10"/>
        <v>325185257.64127576</v>
      </c>
      <c r="H44" s="766">
        <f t="shared" si="10"/>
        <v>17343213.740868039</v>
      </c>
      <c r="I44" s="767">
        <f t="shared" si="10"/>
        <v>151753120.23259535</v>
      </c>
      <c r="J44" s="768">
        <f t="shared" si="10"/>
        <v>111646938.45683801</v>
      </c>
    </row>
    <row r="45" spans="2:10" ht="30" x14ac:dyDescent="0.25">
      <c r="B45" s="408" t="s">
        <v>181</v>
      </c>
      <c r="C45" s="115"/>
      <c r="D45" s="765">
        <f>IF(D40&gt;0,D44/D40,0)</f>
        <v>0</v>
      </c>
      <c r="E45" s="766">
        <f t="shared" ref="E45:J45" si="11">IF(E40&gt;0,E44/E40,0)</f>
        <v>0</v>
      </c>
      <c r="F45" s="766">
        <f t="shared" si="11"/>
        <v>0</v>
      </c>
      <c r="G45" s="765">
        <f t="shared" si="11"/>
        <v>216790.1717608505</v>
      </c>
      <c r="H45" s="766">
        <f t="shared" si="11"/>
        <v>216790.1717608505</v>
      </c>
      <c r="I45" s="767">
        <f t="shared" si="11"/>
        <v>216790.1717608505</v>
      </c>
      <c r="J45" s="768">
        <f t="shared" si="11"/>
        <v>216790.1717608505</v>
      </c>
    </row>
    <row r="46" spans="2:10" ht="30.75" thickBot="1" x14ac:dyDescent="0.3">
      <c r="B46" s="409" t="s">
        <v>182</v>
      </c>
      <c r="C46" s="117"/>
      <c r="D46" s="769">
        <f>D45/365</f>
        <v>0</v>
      </c>
      <c r="E46" s="770">
        <f t="shared" ref="E46:J46" si="12">E45/365</f>
        <v>0</v>
      </c>
      <c r="F46" s="770">
        <f t="shared" si="12"/>
        <v>0</v>
      </c>
      <c r="G46" s="769">
        <f t="shared" si="12"/>
        <v>593.94567605712461</v>
      </c>
      <c r="H46" s="770">
        <f t="shared" si="12"/>
        <v>593.94567605712461</v>
      </c>
      <c r="I46" s="771">
        <f t="shared" si="12"/>
        <v>593.94567605712461</v>
      </c>
      <c r="J46" s="772">
        <f t="shared" si="12"/>
        <v>593.94567605712461</v>
      </c>
    </row>
    <row r="47" spans="2:10" x14ac:dyDescent="0.25">
      <c r="B47" s="137"/>
      <c r="C47" s="2"/>
      <c r="D47" s="178"/>
      <c r="E47" s="178"/>
      <c r="F47" s="178"/>
      <c r="G47" s="178"/>
      <c r="H47" s="178"/>
      <c r="I47" s="178"/>
      <c r="J47" s="178"/>
    </row>
    <row r="48" spans="2:10" x14ac:dyDescent="0.25">
      <c r="B48" s="137"/>
      <c r="C48" s="2"/>
      <c r="D48" s="178"/>
      <c r="E48" s="178"/>
      <c r="F48" s="178"/>
      <c r="G48" s="178"/>
      <c r="H48" s="178"/>
      <c r="I48" s="178"/>
      <c r="J48" s="178"/>
    </row>
    <row r="49" spans="1:10" x14ac:dyDescent="0.25">
      <c r="B49" s="50"/>
      <c r="C49" s="2"/>
      <c r="D49" s="3"/>
      <c r="E49" s="3"/>
      <c r="F49" s="3"/>
      <c r="G49" s="3"/>
      <c r="H49" s="3"/>
      <c r="I49" s="3"/>
      <c r="J49" s="3"/>
    </row>
    <row r="50" spans="1:10" s="13" customFormat="1" x14ac:dyDescent="0.25">
      <c r="A50" s="56"/>
      <c r="C50" s="2"/>
      <c r="D50" s="3"/>
      <c r="E50" s="3"/>
      <c r="F50" s="3"/>
      <c r="G50" s="3"/>
      <c r="H50" s="3"/>
      <c r="I50" s="3"/>
      <c r="J50" s="3"/>
    </row>
    <row r="51" spans="1:10" s="13" customFormat="1" x14ac:dyDescent="0.25">
      <c r="A51" s="56"/>
      <c r="B51" s="12"/>
      <c r="C51" s="2"/>
      <c r="D51" s="3"/>
      <c r="E51" s="3"/>
      <c r="F51" s="3"/>
      <c r="G51" s="3"/>
      <c r="H51" s="3"/>
      <c r="I51" s="3"/>
      <c r="J51" s="3"/>
    </row>
    <row r="52" spans="1:10" s="13" customFormat="1" x14ac:dyDescent="0.25">
      <c r="A52" s="56"/>
      <c r="B52" s="12"/>
      <c r="C52" s="2"/>
      <c r="D52" s="236"/>
      <c r="E52" s="237"/>
      <c r="F52" s="237"/>
      <c r="G52" s="237"/>
      <c r="H52" s="237"/>
      <c r="I52" s="237"/>
      <c r="J52" s="236"/>
    </row>
    <row r="53" spans="1:10" s="13" customFormat="1" x14ac:dyDescent="0.25">
      <c r="A53" s="56"/>
      <c r="B53" s="12"/>
      <c r="C53" s="2"/>
      <c r="D53" s="238"/>
      <c r="E53" s="238"/>
      <c r="F53" s="238"/>
      <c r="G53" s="238"/>
      <c r="H53" s="238"/>
      <c r="I53" s="238"/>
      <c r="J53" s="238"/>
    </row>
    <row r="54" spans="1:10" s="13" customFormat="1" x14ac:dyDescent="0.25">
      <c r="A54" s="56"/>
      <c r="B54" s="49"/>
      <c r="C54" s="138"/>
      <c r="D54" s="239"/>
      <c r="E54" s="239"/>
      <c r="F54" s="239"/>
      <c r="G54" s="239"/>
      <c r="H54" s="239"/>
      <c r="I54" s="239"/>
      <c r="J54" s="239"/>
    </row>
    <row r="55" spans="1:10" s="13" customFormat="1" x14ac:dyDescent="0.25">
      <c r="A55" s="56"/>
      <c r="B55" s="49"/>
      <c r="C55" s="138"/>
      <c r="D55" s="239"/>
      <c r="E55" s="239"/>
      <c r="F55" s="239"/>
      <c r="G55" s="239"/>
      <c r="H55" s="239"/>
      <c r="I55" s="239"/>
      <c r="J55" s="239"/>
    </row>
    <row r="56" spans="1:10" s="13" customFormat="1" x14ac:dyDescent="0.25">
      <c r="A56" s="56"/>
      <c r="B56" s="49"/>
      <c r="C56" s="138"/>
      <c r="D56" s="239"/>
      <c r="E56" s="239"/>
      <c r="F56" s="239"/>
      <c r="G56" s="239"/>
      <c r="H56" s="239"/>
      <c r="I56" s="239"/>
      <c r="J56" s="239"/>
    </row>
    <row r="57" spans="1:10" s="13" customFormat="1" x14ac:dyDescent="0.25">
      <c r="A57" s="56"/>
      <c r="B57" s="56"/>
    </row>
    <row r="58" spans="1:10" s="13" customFormat="1" x14ac:dyDescent="0.25">
      <c r="A58" s="56"/>
      <c r="B58" s="10"/>
      <c r="C58" s="7"/>
      <c r="D58" s="7"/>
      <c r="E58" s="7"/>
      <c r="F58" s="7"/>
      <c r="G58" s="7"/>
      <c r="H58" s="7"/>
      <c r="I58" s="7"/>
      <c r="J58" s="7"/>
    </row>
    <row r="59" spans="1:10" s="13" customFormat="1" x14ac:dyDescent="0.25">
      <c r="A59" s="56"/>
      <c r="B59" s="10"/>
      <c r="C59" s="7"/>
      <c r="D59" s="7"/>
      <c r="E59" s="7"/>
      <c r="F59" s="7"/>
      <c r="G59" s="7"/>
      <c r="H59" s="7"/>
      <c r="I59" s="7"/>
      <c r="J59" s="7"/>
    </row>
    <row r="60" spans="1:10" s="13" customFormat="1" x14ac:dyDescent="0.25">
      <c r="A60" s="56"/>
      <c r="B60" s="10"/>
      <c r="C60" s="7"/>
      <c r="D60" s="7"/>
      <c r="E60" s="7"/>
      <c r="F60" s="7"/>
      <c r="G60" s="7"/>
      <c r="H60" s="7"/>
      <c r="I60" s="7"/>
      <c r="J60" s="7"/>
    </row>
  </sheetData>
  <sheetProtection algorithmName="SHA-512" hashValue="ntg7R5sBnwLaL2cAnvnoY3Uy5c8+Btr03bIp2m3iEDLIaKq/3WIwPBhxpVgkk2HIGrM9HEjs8073bFD8C9LoeQ==" saltValue="93v0iRe9am86zq07MDxqjQ==" spinCount="100000" sheet="1" objects="1" scenarios="1"/>
  <mergeCells count="16">
    <mergeCell ref="J32:J33"/>
    <mergeCell ref="B2:B3"/>
    <mergeCell ref="C2:C3"/>
    <mergeCell ref="D2:F2"/>
    <mergeCell ref="G2:I2"/>
    <mergeCell ref="J2:J3"/>
    <mergeCell ref="B9:B10"/>
    <mergeCell ref="C9:C10"/>
    <mergeCell ref="D9:F9"/>
    <mergeCell ref="G9:I9"/>
    <mergeCell ref="J9:J10"/>
    <mergeCell ref="F28:G28"/>
    <mergeCell ref="B32:B33"/>
    <mergeCell ref="C32:C33"/>
    <mergeCell ref="D32:F32"/>
    <mergeCell ref="G32:I32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>
          <x14:formula1>
            <xm:f>'1. Paraméterek - Eredmények'!C50</xm:f>
          </x14:formula1>
          <xm:sqref>C20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5"/>
  <sheetViews>
    <sheetView topLeftCell="A4" zoomScaleNormal="100" workbookViewId="0">
      <selection activeCell="G22" sqref="G22"/>
    </sheetView>
  </sheetViews>
  <sheetFormatPr defaultRowHeight="15" x14ac:dyDescent="0.25"/>
  <cols>
    <col min="1" max="1" width="5.7109375" style="10" customWidth="1"/>
    <col min="2" max="2" width="40.85546875" style="10" customWidth="1"/>
    <col min="3" max="3" width="18.140625" style="7" customWidth="1"/>
    <col min="4" max="4" width="16" style="7" customWidth="1"/>
    <col min="5" max="5" width="16.85546875" style="7" bestFit="1" customWidth="1"/>
    <col min="6" max="6" width="20.140625" style="7" customWidth="1"/>
    <col min="7" max="7" width="19.42578125" style="7" customWidth="1"/>
    <col min="8" max="8" width="15.28515625" style="7" customWidth="1"/>
    <col min="9" max="9" width="15.42578125" style="7" customWidth="1"/>
    <col min="10" max="13" width="18.85546875" style="7" customWidth="1"/>
    <col min="14" max="16" width="9.140625" style="7"/>
    <col min="17" max="20" width="29.140625" style="7" customWidth="1"/>
    <col min="21" max="16384" width="9.140625" style="7"/>
  </cols>
  <sheetData>
    <row r="1" spans="1:20" ht="15.75" thickBot="1" x14ac:dyDescent="0.3">
      <c r="A1" s="12"/>
      <c r="B1" s="79" t="s">
        <v>265</v>
      </c>
    </row>
    <row r="2" spans="1:20" ht="15.75" customHeight="1" x14ac:dyDescent="0.25">
      <c r="A2" s="12"/>
      <c r="B2" s="865" t="s">
        <v>251</v>
      </c>
      <c r="C2" s="867" t="s">
        <v>10</v>
      </c>
      <c r="D2" s="869" t="s">
        <v>1</v>
      </c>
      <c r="E2" s="870"/>
      <c r="F2" s="871"/>
      <c r="G2" s="869" t="s">
        <v>99</v>
      </c>
      <c r="H2" s="870"/>
      <c r="I2" s="871"/>
      <c r="J2" s="872" t="s">
        <v>112</v>
      </c>
    </row>
    <row r="3" spans="1:20" ht="15.75" thickBot="1" x14ac:dyDescent="0.3">
      <c r="A3" s="12"/>
      <c r="B3" s="866"/>
      <c r="C3" s="868"/>
      <c r="D3" s="197" t="s">
        <v>86</v>
      </c>
      <c r="E3" s="198" t="s">
        <v>87</v>
      </c>
      <c r="F3" s="199" t="s">
        <v>112</v>
      </c>
      <c r="G3" s="197" t="s">
        <v>86</v>
      </c>
      <c r="H3" s="198" t="s">
        <v>87</v>
      </c>
      <c r="I3" s="199" t="s">
        <v>112</v>
      </c>
      <c r="J3" s="873"/>
    </row>
    <row r="4" spans="1:20" x14ac:dyDescent="0.25">
      <c r="A4" s="12"/>
      <c r="B4" s="70" t="s">
        <v>57</v>
      </c>
      <c r="C4" s="724">
        <v>16625909466</v>
      </c>
      <c r="D4" s="725">
        <f>(D42+D45)*0.755+D48</f>
        <v>0</v>
      </c>
      <c r="E4" s="726">
        <f t="shared" ref="E4:J4" si="0">(E42+E45)*0.755+E48</f>
        <v>1103905173.0880001</v>
      </c>
      <c r="F4" s="727">
        <f t="shared" si="0"/>
        <v>1245198280.2953846</v>
      </c>
      <c r="G4" s="725">
        <f t="shared" si="0"/>
        <v>1479971670</v>
      </c>
      <c r="H4" s="726">
        <f t="shared" si="0"/>
        <v>1697909796.6800001</v>
      </c>
      <c r="I4" s="728">
        <f t="shared" si="0"/>
        <v>1588737500.3846154</v>
      </c>
      <c r="J4" s="526">
        <f t="shared" si="0"/>
        <v>1588711873.8123076</v>
      </c>
      <c r="Q4" s="10" t="s">
        <v>118</v>
      </c>
    </row>
    <row r="5" spans="1:20" x14ac:dyDescent="0.25">
      <c r="B5" s="70" t="s">
        <v>250</v>
      </c>
      <c r="C5" s="724">
        <f>C4/'1. Paraméterek - Eredmények'!$C$38</f>
        <v>916229.99371762376</v>
      </c>
      <c r="D5" s="725">
        <f>(D43*(D40/$C$16)+D46*(($C$16-D40)/$C$16))*0.755+D49</f>
        <v>0</v>
      </c>
      <c r="E5" s="726">
        <f t="shared" ref="E5:J5" si="1">(E43*(E40/$C$16)+E46*(($C$16-E40)/$C$16))*0.755+E49</f>
        <v>735936.78205866669</v>
      </c>
      <c r="F5" s="727">
        <f t="shared" si="1"/>
        <v>830132.1868635898</v>
      </c>
      <c r="G5" s="725">
        <f t="shared" si="1"/>
        <v>986647.78</v>
      </c>
      <c r="H5" s="726">
        <f t="shared" si="1"/>
        <v>1131939.8644533334</v>
      </c>
      <c r="I5" s="727">
        <f t="shared" si="1"/>
        <v>1059158.3335897436</v>
      </c>
      <c r="J5" s="526">
        <f t="shared" si="1"/>
        <v>1059141.2492082049</v>
      </c>
      <c r="Q5" s="32" t="s">
        <v>38</v>
      </c>
      <c r="R5" s="5" t="s">
        <v>54</v>
      </c>
      <c r="S5" s="5" t="s">
        <v>55</v>
      </c>
      <c r="T5" s="4" t="s">
        <v>60</v>
      </c>
    </row>
    <row r="6" spans="1:20" ht="15.75" thickBot="1" x14ac:dyDescent="0.3">
      <c r="B6" s="71" t="s">
        <v>58</v>
      </c>
      <c r="C6" s="729">
        <f>C5/365</f>
        <v>2510.2191608702019</v>
      </c>
      <c r="D6" s="730">
        <f>D5/365</f>
        <v>0</v>
      </c>
      <c r="E6" s="731">
        <f t="shared" ref="E6:J6" si="2">E5/365</f>
        <v>2016.2651563251143</v>
      </c>
      <c r="F6" s="732">
        <f t="shared" si="2"/>
        <v>2274.3347585303832</v>
      </c>
      <c r="G6" s="730">
        <f t="shared" si="2"/>
        <v>2703.144602739726</v>
      </c>
      <c r="H6" s="731">
        <f t="shared" si="2"/>
        <v>3101.2051080913243</v>
      </c>
      <c r="I6" s="732">
        <f t="shared" si="2"/>
        <v>2901.8036536705304</v>
      </c>
      <c r="J6" s="527">
        <f t="shared" si="2"/>
        <v>2901.7568471457671</v>
      </c>
      <c r="Q6" s="12" t="s">
        <v>106</v>
      </c>
      <c r="R6" s="31">
        <v>0.01</v>
      </c>
      <c r="S6" s="31">
        <v>0.03</v>
      </c>
      <c r="T6" s="51"/>
    </row>
    <row r="7" spans="1:20" x14ac:dyDescent="0.25">
      <c r="B7" s="12"/>
      <c r="C7" s="2"/>
      <c r="D7" s="3"/>
      <c r="E7" s="3"/>
      <c r="G7" s="3"/>
      <c r="H7" s="3"/>
      <c r="I7" s="3"/>
      <c r="J7" s="3"/>
    </row>
    <row r="8" spans="1:20" ht="15.75" thickBot="1" x14ac:dyDescent="0.3">
      <c r="B8" s="32" t="s">
        <v>118</v>
      </c>
      <c r="C8" s="2"/>
      <c r="D8" s="3"/>
      <c r="E8" s="3"/>
      <c r="G8" s="3"/>
      <c r="H8" s="3"/>
      <c r="I8" s="3"/>
      <c r="J8" s="3"/>
    </row>
    <row r="9" spans="1:20" x14ac:dyDescent="0.25">
      <c r="B9" s="865" t="s">
        <v>251</v>
      </c>
      <c r="C9" s="867" t="s">
        <v>10</v>
      </c>
      <c r="D9" s="869" t="s">
        <v>1</v>
      </c>
      <c r="E9" s="870"/>
      <c r="F9" s="871"/>
      <c r="G9" s="869" t="s">
        <v>99</v>
      </c>
      <c r="H9" s="870"/>
      <c r="I9" s="871"/>
      <c r="J9" s="872" t="s">
        <v>112</v>
      </c>
    </row>
    <row r="10" spans="1:20" ht="15.75" thickBot="1" x14ac:dyDescent="0.3">
      <c r="B10" s="866"/>
      <c r="C10" s="868"/>
      <c r="D10" s="197" t="s">
        <v>86</v>
      </c>
      <c r="E10" s="198" t="s">
        <v>87</v>
      </c>
      <c r="F10" s="199" t="s">
        <v>112</v>
      </c>
      <c r="G10" s="197" t="s">
        <v>86</v>
      </c>
      <c r="H10" s="198" t="s">
        <v>87</v>
      </c>
      <c r="I10" s="199" t="s">
        <v>112</v>
      </c>
      <c r="J10" s="873"/>
    </row>
    <row r="11" spans="1:20" x14ac:dyDescent="0.25">
      <c r="B11" s="54" t="s">
        <v>57</v>
      </c>
      <c r="C11" s="48"/>
      <c r="D11" s="773">
        <f>(D110+D113)*0.755</f>
        <v>0</v>
      </c>
      <c r="E11" s="39">
        <f t="shared" ref="E11:J11" si="3">(E110+E113)*0.755</f>
        <v>1011126455.5384616</v>
      </c>
      <c r="F11" s="774">
        <f t="shared" si="3"/>
        <v>871023838.52230763</v>
      </c>
      <c r="G11" s="773">
        <f t="shared" si="3"/>
        <v>1342278585.2307692</v>
      </c>
      <c r="H11" s="39">
        <f t="shared" si="3"/>
        <v>2540621549.8153849</v>
      </c>
      <c r="I11" s="774">
        <f t="shared" si="3"/>
        <v>1939685754.3684614</v>
      </c>
      <c r="J11" s="40">
        <f t="shared" si="3"/>
        <v>1331051628.2530768</v>
      </c>
    </row>
    <row r="12" spans="1:20" x14ac:dyDescent="0.25">
      <c r="B12" s="54" t="s">
        <v>250</v>
      </c>
      <c r="C12" s="48"/>
      <c r="D12" s="773">
        <f>(D111*(D90/$C$16)+D114*(($C$16-D90)/$C$16))*0.755</f>
        <v>0</v>
      </c>
      <c r="E12" s="39">
        <f t="shared" ref="E12:J12" si="4">(E111*(E90/$C$16)+E114*(($C$16-E90)/$C$16))*0.755</f>
        <v>674084.30369230779</v>
      </c>
      <c r="F12" s="774">
        <f t="shared" si="4"/>
        <v>580682.55901487172</v>
      </c>
      <c r="G12" s="773">
        <f t="shared" si="4"/>
        <v>894852.39015384612</v>
      </c>
      <c r="H12" s="39">
        <f t="shared" si="4"/>
        <v>1693747.6998769231</v>
      </c>
      <c r="I12" s="774">
        <f t="shared" si="4"/>
        <v>1293123.8362456411</v>
      </c>
      <c r="J12" s="40">
        <f t="shared" si="4"/>
        <v>887367.75216871791</v>
      </c>
    </row>
    <row r="13" spans="1:20" ht="15.75" thickBot="1" x14ac:dyDescent="0.3">
      <c r="B13" s="55" t="s">
        <v>58</v>
      </c>
      <c r="C13" s="53"/>
      <c r="D13" s="775">
        <f>D12/365</f>
        <v>0</v>
      </c>
      <c r="E13" s="41">
        <f t="shared" ref="E13:J13" si="5">E12/365</f>
        <v>1846.8063114857748</v>
      </c>
      <c r="F13" s="776">
        <f t="shared" si="5"/>
        <v>1590.9111205886895</v>
      </c>
      <c r="G13" s="775">
        <f t="shared" si="5"/>
        <v>2451.6503839831403</v>
      </c>
      <c r="H13" s="41">
        <f t="shared" si="5"/>
        <v>4640.4046571970493</v>
      </c>
      <c r="I13" s="776">
        <f t="shared" si="5"/>
        <v>3542.8050308099755</v>
      </c>
      <c r="J13" s="777">
        <f t="shared" si="5"/>
        <v>2431.1445264896383</v>
      </c>
    </row>
    <row r="14" spans="1:20" x14ac:dyDescent="0.25">
      <c r="B14" s="12"/>
      <c r="C14" s="2"/>
      <c r="D14" s="3"/>
      <c r="E14" s="3"/>
      <c r="F14" s="3"/>
      <c r="G14" s="3"/>
      <c r="H14" s="3"/>
      <c r="I14" s="3"/>
    </row>
    <row r="15" spans="1:20" x14ac:dyDescent="0.25">
      <c r="B15" s="60" t="s">
        <v>56</v>
      </c>
      <c r="C15" s="62"/>
    </row>
    <row r="16" spans="1:20" x14ac:dyDescent="0.25">
      <c r="B16" s="61" t="s">
        <v>11</v>
      </c>
      <c r="C16" s="375">
        <f>'1. Paraméterek - Eredmények'!C33</f>
        <v>1500</v>
      </c>
    </row>
    <row r="17" spans="2:10" x14ac:dyDescent="0.25">
      <c r="B17" s="12"/>
      <c r="C17" s="46"/>
    </row>
    <row r="18" spans="2:10" x14ac:dyDescent="0.25">
      <c r="B18" s="60" t="s">
        <v>228</v>
      </c>
      <c r="C18" s="411"/>
      <c r="D18" s="150"/>
      <c r="E18" s="151"/>
    </row>
    <row r="19" spans="2:10" x14ac:dyDescent="0.25">
      <c r="B19" s="376" t="s">
        <v>38</v>
      </c>
      <c r="C19" s="5" t="s">
        <v>54</v>
      </c>
      <c r="D19" s="5" t="s">
        <v>55</v>
      </c>
      <c r="E19" s="245" t="s">
        <v>60</v>
      </c>
    </row>
    <row r="20" spans="2:10" x14ac:dyDescent="0.25">
      <c r="B20" s="67" t="s">
        <v>8</v>
      </c>
      <c r="C20" s="271">
        <f>'1. Paraméterek - Eredmények'!C56</f>
        <v>1600</v>
      </c>
      <c r="D20" s="271">
        <f>'1. Paraméterek - Eredmények'!D56</f>
        <v>700</v>
      </c>
      <c r="E20" s="272">
        <f>'1. Paraméterek - Eredmények'!E56</f>
        <v>800</v>
      </c>
    </row>
    <row r="21" spans="2:10" x14ac:dyDescent="0.25">
      <c r="B21" s="715" t="s">
        <v>173</v>
      </c>
      <c r="C21" s="271"/>
      <c r="D21" s="271"/>
      <c r="E21" s="272"/>
    </row>
    <row r="22" spans="2:10" ht="30.75" thickBot="1" x14ac:dyDescent="0.3">
      <c r="B22" s="67" t="s">
        <v>427</v>
      </c>
      <c r="C22" s="271">
        <v>107200</v>
      </c>
      <c r="D22" s="247"/>
      <c r="E22" s="716"/>
    </row>
    <row r="23" spans="2:10" ht="15.75" thickBot="1" x14ac:dyDescent="0.3">
      <c r="B23" s="67" t="s">
        <v>429</v>
      </c>
      <c r="C23" s="271">
        <v>16</v>
      </c>
      <c r="D23" s="271">
        <v>10</v>
      </c>
      <c r="E23" s="681">
        <v>13</v>
      </c>
    </row>
    <row r="24" spans="2:10" ht="45" x14ac:dyDescent="0.25">
      <c r="B24" s="72" t="s">
        <v>428</v>
      </c>
      <c r="C24" s="353">
        <f>$C$22/C23</f>
        <v>6700</v>
      </c>
      <c r="D24" s="353">
        <f t="shared" ref="D24:E24" si="6">$C$22/D23</f>
        <v>10720</v>
      </c>
      <c r="E24" s="792">
        <f t="shared" si="6"/>
        <v>8246.1538461538457</v>
      </c>
    </row>
    <row r="25" spans="2:10" x14ac:dyDescent="0.25">
      <c r="B25" s="50"/>
      <c r="C25" s="52"/>
      <c r="D25" s="52"/>
      <c r="E25" s="52"/>
    </row>
    <row r="26" spans="2:10" x14ac:dyDescent="0.25">
      <c r="B26" s="60" t="s">
        <v>227</v>
      </c>
      <c r="C26" s="63" t="s">
        <v>1</v>
      </c>
      <c r="D26" s="63" t="s">
        <v>99</v>
      </c>
      <c r="E26" s="64" t="s">
        <v>60</v>
      </c>
    </row>
    <row r="27" spans="2:10" x14ac:dyDescent="0.25">
      <c r="B27" s="68" t="s">
        <v>3</v>
      </c>
      <c r="C27" s="282">
        <f>'1. Paraméterek - Eredmények'!C60</f>
        <v>1.44</v>
      </c>
      <c r="D27" s="282">
        <f>'1. Paraméterek - Eredmények'!D60</f>
        <v>1</v>
      </c>
      <c r="E27" s="283">
        <f>'1. Paraméterek - Eredmények'!E60</f>
        <v>1.22</v>
      </c>
      <c r="H27" s="13"/>
      <c r="I27" s="13"/>
      <c r="J27" s="13"/>
    </row>
    <row r="28" spans="2:10" x14ac:dyDescent="0.25">
      <c r="B28" s="12"/>
      <c r="C28" s="46"/>
      <c r="D28" s="46"/>
      <c r="E28" s="46"/>
      <c r="F28" s="17"/>
      <c r="G28" s="17"/>
      <c r="H28" s="1"/>
      <c r="I28" s="1"/>
      <c r="J28" s="1"/>
    </row>
    <row r="29" spans="2:10" x14ac:dyDescent="0.25">
      <c r="B29" s="241" t="s">
        <v>393</v>
      </c>
      <c r="C29" s="46"/>
      <c r="D29" s="46"/>
      <c r="E29" s="46"/>
      <c r="F29" s="17"/>
      <c r="G29" s="17"/>
      <c r="H29" s="1"/>
      <c r="I29" s="1"/>
      <c r="J29" s="1"/>
    </row>
    <row r="30" spans="2:10" ht="30" x14ac:dyDescent="0.25">
      <c r="B30" s="118" t="s">
        <v>164</v>
      </c>
      <c r="C30" s="120" t="s">
        <v>89</v>
      </c>
      <c r="D30" s="119" t="s">
        <v>126</v>
      </c>
      <c r="E30" s="119" t="s">
        <v>127</v>
      </c>
      <c r="F30" s="898" t="s">
        <v>128</v>
      </c>
      <c r="G30" s="899"/>
      <c r="H30" s="132"/>
      <c r="I30" s="132"/>
      <c r="J30" s="13"/>
    </row>
    <row r="31" spans="2:10" x14ac:dyDescent="0.25">
      <c r="B31" s="133" t="s">
        <v>154</v>
      </c>
      <c r="C31" s="96">
        <v>1303754</v>
      </c>
      <c r="D31" s="96">
        <v>64389.42</v>
      </c>
      <c r="E31" s="13">
        <v>0</v>
      </c>
      <c r="F31" s="96">
        <v>1171638</v>
      </c>
      <c r="G31" s="147">
        <v>1435870</v>
      </c>
      <c r="H31" s="69"/>
      <c r="I31" s="69"/>
      <c r="J31" s="13"/>
    </row>
    <row r="32" spans="2:10" x14ac:dyDescent="0.25">
      <c r="B32" s="135" t="s">
        <v>88</v>
      </c>
      <c r="C32" s="101">
        <v>143000000</v>
      </c>
      <c r="D32" s="101">
        <v>51000000</v>
      </c>
      <c r="E32" s="66">
        <v>8.9999999999999993E-3</v>
      </c>
      <c r="F32" s="101">
        <v>38900000</v>
      </c>
      <c r="G32" s="148">
        <v>248000000</v>
      </c>
      <c r="H32" s="69"/>
      <c r="I32" s="69"/>
      <c r="J32" s="13"/>
    </row>
    <row r="33" spans="2:12" ht="15.75" thickBot="1" x14ac:dyDescent="0.3"/>
    <row r="34" spans="2:12" x14ac:dyDescent="0.25">
      <c r="B34" s="900" t="s">
        <v>186</v>
      </c>
      <c r="C34" s="867" t="s">
        <v>10</v>
      </c>
      <c r="D34" s="869" t="s">
        <v>1</v>
      </c>
      <c r="E34" s="870"/>
      <c r="F34" s="871"/>
      <c r="G34" s="869" t="s">
        <v>99</v>
      </c>
      <c r="H34" s="870"/>
      <c r="I34" s="871"/>
      <c r="J34" s="872" t="s">
        <v>112</v>
      </c>
    </row>
    <row r="35" spans="2:12" ht="15.75" thickBot="1" x14ac:dyDescent="0.3">
      <c r="B35" s="901"/>
      <c r="C35" s="868"/>
      <c r="D35" s="197" t="s">
        <v>86</v>
      </c>
      <c r="E35" s="198" t="s">
        <v>87</v>
      </c>
      <c r="F35" s="199" t="s">
        <v>112</v>
      </c>
      <c r="G35" s="197" t="s">
        <v>86</v>
      </c>
      <c r="H35" s="198" t="s">
        <v>87</v>
      </c>
      <c r="I35" s="199" t="s">
        <v>112</v>
      </c>
      <c r="J35" s="873"/>
    </row>
    <row r="36" spans="2:12" x14ac:dyDescent="0.25">
      <c r="B36" s="105" t="s">
        <v>8</v>
      </c>
      <c r="C36" s="149"/>
      <c r="D36" s="270">
        <f>C20</f>
        <v>1600</v>
      </c>
      <c r="E36" s="271">
        <f>D20</f>
        <v>700</v>
      </c>
      <c r="F36" s="272">
        <f>E20</f>
        <v>800</v>
      </c>
      <c r="G36" s="270">
        <f>C20</f>
        <v>1600</v>
      </c>
      <c r="H36" s="271">
        <f>D20</f>
        <v>700</v>
      </c>
      <c r="I36" s="272">
        <f>E20</f>
        <v>800</v>
      </c>
      <c r="J36" s="274">
        <f>E20</f>
        <v>800</v>
      </c>
    </row>
    <row r="37" spans="2:12" x14ac:dyDescent="0.25">
      <c r="B37" s="105" t="s">
        <v>430</v>
      </c>
      <c r="C37" s="149"/>
      <c r="D37" s="270">
        <f>C24</f>
        <v>6700</v>
      </c>
      <c r="E37" s="271">
        <f t="shared" ref="E37:F37" si="7">D24</f>
        <v>10720</v>
      </c>
      <c r="F37" s="272">
        <f t="shared" si="7"/>
        <v>8246.1538461538457</v>
      </c>
      <c r="G37" s="270">
        <f>C$24</f>
        <v>6700</v>
      </c>
      <c r="H37" s="271">
        <f t="shared" ref="H37:I37" si="8">D$24</f>
        <v>10720</v>
      </c>
      <c r="I37" s="272">
        <f t="shared" si="8"/>
        <v>8246.1538461538457</v>
      </c>
      <c r="J37" s="274">
        <f>E24</f>
        <v>8246.1538461538457</v>
      </c>
    </row>
    <row r="38" spans="2:12" x14ac:dyDescent="0.25">
      <c r="B38" s="107" t="s">
        <v>3</v>
      </c>
      <c r="C38" s="201"/>
      <c r="D38" s="717">
        <f>$C$27</f>
        <v>1.44</v>
      </c>
      <c r="E38" s="418">
        <f>$C$27</f>
        <v>1.44</v>
      </c>
      <c r="F38" s="718">
        <f>$C$27</f>
        <v>1.44</v>
      </c>
      <c r="G38" s="717">
        <f>$D$27</f>
        <v>1</v>
      </c>
      <c r="H38" s="418">
        <f>$D$27</f>
        <v>1</v>
      </c>
      <c r="I38" s="718">
        <f>$D$27</f>
        <v>1</v>
      </c>
      <c r="J38" s="719">
        <f>$E$27</f>
        <v>1.22</v>
      </c>
    </row>
    <row r="39" spans="2:12" x14ac:dyDescent="0.25">
      <c r="B39" s="202" t="s">
        <v>163</v>
      </c>
      <c r="C39" s="203"/>
      <c r="D39" s="266">
        <f>'A. Építés'!D49</f>
        <v>0</v>
      </c>
      <c r="E39" s="267">
        <f>'A. Építés'!E49</f>
        <v>1</v>
      </c>
      <c r="F39" s="401">
        <f>'A. Építés'!F49</f>
        <v>1</v>
      </c>
      <c r="G39" s="266">
        <f>'A. Építés'!G49</f>
        <v>0</v>
      </c>
      <c r="H39" s="267">
        <f>'A. Építés'!H49</f>
        <v>2</v>
      </c>
      <c r="I39" s="401">
        <f>'A. Építés'!I49</f>
        <v>1</v>
      </c>
      <c r="J39" s="269">
        <f>'A. Építés'!J49</f>
        <v>1</v>
      </c>
    </row>
    <row r="40" spans="2:12" ht="30" x14ac:dyDescent="0.25">
      <c r="B40" s="202" t="s">
        <v>183</v>
      </c>
      <c r="C40" s="204"/>
      <c r="D40" s="266">
        <f>'A. Építés'!D50</f>
        <v>0</v>
      </c>
      <c r="E40" s="267">
        <f>'A. Építés'!E50</f>
        <v>1008</v>
      </c>
      <c r="F40" s="401">
        <f>'A. Építés'!F50</f>
        <v>1152</v>
      </c>
      <c r="G40" s="266">
        <f>'A. Építés'!G50</f>
        <v>0</v>
      </c>
      <c r="H40" s="267">
        <f>'A. Építés'!H50</f>
        <v>1400</v>
      </c>
      <c r="I40" s="401">
        <f>'A. Építés'!I50</f>
        <v>800</v>
      </c>
      <c r="J40" s="269">
        <f>'A. Építés'!J50</f>
        <v>976</v>
      </c>
    </row>
    <row r="41" spans="2:12" x14ac:dyDescent="0.25">
      <c r="B41" s="202" t="str">
        <f>'A. Építés'!B73</f>
        <v>Új férőhelyek száma</v>
      </c>
      <c r="C41" s="204"/>
      <c r="D41" s="266">
        <f>'A. Építés'!D73</f>
        <v>0</v>
      </c>
      <c r="E41" s="267">
        <f>'A. Építés'!E73</f>
        <v>0</v>
      </c>
      <c r="F41" s="401">
        <f>'A. Építés'!F73</f>
        <v>0</v>
      </c>
      <c r="G41" s="266">
        <f>'A. Építés'!G73</f>
        <v>1500</v>
      </c>
      <c r="H41" s="267">
        <f>'A. Építés'!H73</f>
        <v>80</v>
      </c>
      <c r="I41" s="401">
        <f>'A. Építés'!I73</f>
        <v>700</v>
      </c>
      <c r="J41" s="269">
        <f>'A. Építés'!J73</f>
        <v>515</v>
      </c>
    </row>
    <row r="42" spans="2:12" ht="30" x14ac:dyDescent="0.25">
      <c r="B42" s="187" t="s">
        <v>187</v>
      </c>
      <c r="C42" s="110"/>
      <c r="D42" s="518">
        <f t="shared" ref="D42:J42" si="9">IF(D39=0,0,D39*$C$32+D40*$C$31)</f>
        <v>0</v>
      </c>
      <c r="E42" s="519">
        <f t="shared" si="9"/>
        <v>1457184032</v>
      </c>
      <c r="F42" s="519">
        <f t="shared" si="9"/>
        <v>1644924608</v>
      </c>
      <c r="G42" s="518">
        <f t="shared" si="9"/>
        <v>0</v>
      </c>
      <c r="H42" s="519">
        <f t="shared" si="9"/>
        <v>2111255600</v>
      </c>
      <c r="I42" s="520">
        <f t="shared" si="9"/>
        <v>1186003200</v>
      </c>
      <c r="J42" s="521">
        <f t="shared" si="9"/>
        <v>1415463904</v>
      </c>
    </row>
    <row r="43" spans="2:12" ht="30" x14ac:dyDescent="0.25">
      <c r="B43" s="109" t="s">
        <v>188</v>
      </c>
      <c r="C43" s="110"/>
      <c r="D43" s="518">
        <f>IF(D40=0,0,D42/D40)</f>
        <v>0</v>
      </c>
      <c r="E43" s="519">
        <f t="shared" ref="E43:J43" si="10">IF(E40=0,0,E42/E40)</f>
        <v>1445619.0793650793</v>
      </c>
      <c r="F43" s="519">
        <f t="shared" si="10"/>
        <v>1427885.9444444445</v>
      </c>
      <c r="G43" s="518">
        <f t="shared" si="10"/>
        <v>0</v>
      </c>
      <c r="H43" s="519">
        <f t="shared" si="10"/>
        <v>1508039.7142857143</v>
      </c>
      <c r="I43" s="520">
        <f t="shared" si="10"/>
        <v>1482504</v>
      </c>
      <c r="J43" s="521">
        <f t="shared" si="10"/>
        <v>1450270.3934426229</v>
      </c>
    </row>
    <row r="44" spans="2:12" ht="30" x14ac:dyDescent="0.25">
      <c r="B44" s="109" t="s">
        <v>189</v>
      </c>
      <c r="C44" s="110"/>
      <c r="D44" s="518">
        <f>D43/365</f>
        <v>0</v>
      </c>
      <c r="E44" s="519">
        <f t="shared" ref="E44:J44" si="11">E43/365</f>
        <v>3960.6002174385735</v>
      </c>
      <c r="F44" s="519">
        <f t="shared" si="11"/>
        <v>3912.0162861491631</v>
      </c>
      <c r="G44" s="518">
        <f t="shared" si="11"/>
        <v>0</v>
      </c>
      <c r="H44" s="519">
        <f t="shared" si="11"/>
        <v>4131.6156555772995</v>
      </c>
      <c r="I44" s="520">
        <f t="shared" si="11"/>
        <v>4061.654794520548</v>
      </c>
      <c r="J44" s="521">
        <f t="shared" si="11"/>
        <v>3973.3435436784189</v>
      </c>
    </row>
    <row r="45" spans="2:12" ht="30" x14ac:dyDescent="0.25">
      <c r="B45" s="109" t="s">
        <v>205</v>
      </c>
      <c r="C45" s="115"/>
      <c r="D45" s="514">
        <v>0</v>
      </c>
      <c r="E45" s="515">
        <v>0</v>
      </c>
      <c r="F45" s="516">
        <v>0</v>
      </c>
      <c r="G45" s="514">
        <f>($C$16-G40)*$C$31</f>
        <v>1955631000</v>
      </c>
      <c r="H45" s="515">
        <f t="shared" ref="H45:I45" si="12">($C$16-H40)*$C$31</f>
        <v>130375400</v>
      </c>
      <c r="I45" s="516">
        <f t="shared" si="12"/>
        <v>912627800</v>
      </c>
      <c r="J45" s="521">
        <f t="shared" ref="J45" si="13">($C$16-J40)*$C$31</f>
        <v>683167096</v>
      </c>
    </row>
    <row r="46" spans="2:12" ht="30" x14ac:dyDescent="0.25">
      <c r="B46" s="109" t="s">
        <v>206</v>
      </c>
      <c r="C46" s="115"/>
      <c r="D46" s="514">
        <v>0</v>
      </c>
      <c r="E46" s="515">
        <v>0</v>
      </c>
      <c r="F46" s="516">
        <v>0</v>
      </c>
      <c r="G46" s="514">
        <f>IF($C$16-G40=0,0,G45/($C$16-G40))</f>
        <v>1303754</v>
      </c>
      <c r="H46" s="515">
        <f t="shared" ref="H46:J46" si="14">IF($C$16-H40=0,0,H45/($C$16-H40))</f>
        <v>1303754</v>
      </c>
      <c r="I46" s="516">
        <f t="shared" si="14"/>
        <v>1303754</v>
      </c>
      <c r="J46" s="521">
        <f t="shared" si="14"/>
        <v>1303754</v>
      </c>
    </row>
    <row r="47" spans="2:12" ht="30" x14ac:dyDescent="0.25">
      <c r="B47" s="109" t="s">
        <v>207</v>
      </c>
      <c r="C47" s="115"/>
      <c r="D47" s="514">
        <v>0</v>
      </c>
      <c r="E47" s="515">
        <v>0</v>
      </c>
      <c r="F47" s="516">
        <v>0</v>
      </c>
      <c r="G47" s="514">
        <f>G46/365</f>
        <v>3571.9287671232878</v>
      </c>
      <c r="H47" s="515">
        <f t="shared" ref="H47:J47" si="15">H46/365</f>
        <v>3571.9287671232878</v>
      </c>
      <c r="I47" s="516">
        <f t="shared" si="15"/>
        <v>3571.9287671232878</v>
      </c>
      <c r="J47" s="521">
        <f t="shared" si="15"/>
        <v>3571.9287671232878</v>
      </c>
    </row>
    <row r="48" spans="2:12" x14ac:dyDescent="0.25">
      <c r="B48" s="111" t="s">
        <v>431</v>
      </c>
      <c r="C48" s="473"/>
      <c r="D48" s="688">
        <f>(D40+D41)*0.3453*D37</f>
        <v>0</v>
      </c>
      <c r="E48" s="688">
        <f t="shared" ref="E48:J48" si="16">(E40+E41)*0.3453*E37</f>
        <v>3731228.9279999998</v>
      </c>
      <c r="F48" s="689">
        <f t="shared" si="16"/>
        <v>3280201.2553846152</v>
      </c>
      <c r="G48" s="688">
        <f t="shared" si="16"/>
        <v>3470265.0000000005</v>
      </c>
      <c r="H48" s="688">
        <f t="shared" si="16"/>
        <v>5478391.6799999997</v>
      </c>
      <c r="I48" s="689">
        <f t="shared" si="16"/>
        <v>4271095.384615385</v>
      </c>
      <c r="J48" s="690">
        <f t="shared" si="16"/>
        <v>4245468.8123076921</v>
      </c>
      <c r="K48" s="365"/>
      <c r="L48" s="365"/>
    </row>
    <row r="49" spans="1:11" ht="30" x14ac:dyDescent="0.25">
      <c r="B49" s="111" t="s">
        <v>432</v>
      </c>
      <c r="C49" s="473"/>
      <c r="D49" s="688">
        <f>D48/$C$16</f>
        <v>0</v>
      </c>
      <c r="E49" s="688">
        <f t="shared" ref="E49:J49" si="17">E48/$C$16</f>
        <v>2487.485952</v>
      </c>
      <c r="F49" s="689">
        <f t="shared" si="17"/>
        <v>2186.800836923077</v>
      </c>
      <c r="G49" s="688">
        <f t="shared" si="17"/>
        <v>2313.5100000000002</v>
      </c>
      <c r="H49" s="688">
        <f t="shared" si="17"/>
        <v>3652.2611199999997</v>
      </c>
      <c r="I49" s="689">
        <f t="shared" si="17"/>
        <v>2847.3969230769235</v>
      </c>
      <c r="J49" s="690">
        <f t="shared" si="17"/>
        <v>2830.3125415384616</v>
      </c>
    </row>
    <row r="50" spans="1:11" ht="30.75" thickBot="1" x14ac:dyDescent="0.3">
      <c r="B50" s="720" t="s">
        <v>433</v>
      </c>
      <c r="C50" s="704"/>
      <c r="D50" s="721">
        <f>D49/365</f>
        <v>0</v>
      </c>
      <c r="E50" s="721">
        <f t="shared" ref="E50:J50" si="18">E49/365</f>
        <v>6.8150300054794517</v>
      </c>
      <c r="F50" s="722">
        <f t="shared" si="18"/>
        <v>5.9912351696522661</v>
      </c>
      <c r="G50" s="721">
        <f t="shared" si="18"/>
        <v>6.3383835616438367</v>
      </c>
      <c r="H50" s="721">
        <f t="shared" si="18"/>
        <v>10.006194849315067</v>
      </c>
      <c r="I50" s="722">
        <f t="shared" si="18"/>
        <v>7.8010874604847222</v>
      </c>
      <c r="J50" s="723">
        <f t="shared" si="18"/>
        <v>7.7542809357218125</v>
      </c>
    </row>
    <row r="51" spans="1:11" x14ac:dyDescent="0.25">
      <c r="B51" s="220"/>
      <c r="C51" s="221"/>
      <c r="D51" s="193"/>
      <c r="E51" s="193"/>
      <c r="F51" s="193"/>
      <c r="G51" s="193"/>
      <c r="H51" s="193"/>
      <c r="I51" s="193"/>
      <c r="J51" s="190"/>
    </row>
    <row r="52" spans="1:11" s="13" customFormat="1" x14ac:dyDescent="0.25">
      <c r="A52" s="56"/>
      <c r="B52" s="50"/>
      <c r="C52" s="2"/>
      <c r="D52" s="178"/>
      <c r="E52" s="178"/>
      <c r="F52" s="178"/>
      <c r="G52" s="178"/>
      <c r="H52" s="178"/>
      <c r="I52" s="178"/>
      <c r="J52" s="178"/>
    </row>
    <row r="53" spans="1:11" x14ac:dyDescent="0.25">
      <c r="B53" s="240" t="s">
        <v>203</v>
      </c>
      <c r="C53" s="152"/>
      <c r="D53" s="153"/>
      <c r="E53" s="153"/>
      <c r="F53" s="153"/>
      <c r="G53" s="153"/>
      <c r="H53" s="152"/>
      <c r="I53" s="152"/>
      <c r="J53" s="1"/>
      <c r="K53" s="1"/>
    </row>
    <row r="54" spans="1:11" x14ac:dyDescent="0.25">
      <c r="B54" s="168" t="s">
        <v>204</v>
      </c>
      <c r="C54" s="69"/>
      <c r="D54" s="154"/>
      <c r="E54" s="1"/>
      <c r="F54" s="69"/>
      <c r="G54" s="69"/>
      <c r="H54" s="98"/>
      <c r="I54" s="98"/>
      <c r="J54" s="1"/>
      <c r="K54" s="1"/>
    </row>
    <row r="55" spans="1:11" x14ac:dyDescent="0.25">
      <c r="B55" s="902" t="s">
        <v>210</v>
      </c>
      <c r="C55" s="904" t="s">
        <v>93</v>
      </c>
      <c r="D55" s="906" t="s">
        <v>86</v>
      </c>
      <c r="E55" s="907"/>
      <c r="F55" s="908"/>
      <c r="G55" s="909" t="s">
        <v>87</v>
      </c>
      <c r="H55" s="909"/>
      <c r="I55" s="909"/>
      <c r="J55" s="910"/>
      <c r="K55" s="1"/>
    </row>
    <row r="56" spans="1:11" ht="45" x14ac:dyDescent="0.25">
      <c r="B56" s="903"/>
      <c r="C56" s="905"/>
      <c r="D56" s="158" t="s">
        <v>199</v>
      </c>
      <c r="E56" s="158" t="s">
        <v>200</v>
      </c>
      <c r="F56" s="159" t="s">
        <v>201</v>
      </c>
      <c r="G56" s="158" t="s">
        <v>195</v>
      </c>
      <c r="H56" s="158" t="s">
        <v>196</v>
      </c>
      <c r="I56" s="158" t="s">
        <v>197</v>
      </c>
      <c r="J56" s="159" t="s">
        <v>198</v>
      </c>
    </row>
    <row r="57" spans="1:11" x14ac:dyDescent="0.25">
      <c r="B57" s="160" t="s">
        <v>190</v>
      </c>
      <c r="C57" s="161">
        <v>1</v>
      </c>
      <c r="D57" s="596">
        <v>401960</v>
      </c>
      <c r="E57" s="162"/>
      <c r="F57" s="163">
        <f>C57*(D57+E57)</f>
        <v>401960</v>
      </c>
      <c r="G57" s="162">
        <v>401960</v>
      </c>
      <c r="H57" s="162">
        <v>32466</v>
      </c>
      <c r="I57" s="596">
        <f>G57+H57</f>
        <v>434426</v>
      </c>
      <c r="J57" s="163">
        <f>C57*(G57+H57)</f>
        <v>434426</v>
      </c>
    </row>
    <row r="58" spans="1:11" x14ac:dyDescent="0.25">
      <c r="B58" s="160" t="s">
        <v>191</v>
      </c>
      <c r="C58" s="161">
        <v>0</v>
      </c>
      <c r="D58" s="596">
        <v>347850</v>
      </c>
      <c r="E58" s="162"/>
      <c r="F58" s="163">
        <f>C58*(D58+E58)</f>
        <v>0</v>
      </c>
      <c r="G58" s="162">
        <v>347850</v>
      </c>
      <c r="H58" s="162">
        <v>32466</v>
      </c>
      <c r="I58" s="596">
        <f t="shared" ref="I58:I61" si="19">G58+H58</f>
        <v>380316</v>
      </c>
      <c r="J58" s="163">
        <f>C58*(G58+H58)</f>
        <v>0</v>
      </c>
    </row>
    <row r="59" spans="1:11" x14ac:dyDescent="0.25">
      <c r="B59" s="160" t="s">
        <v>192</v>
      </c>
      <c r="C59" s="161">
        <v>3</v>
      </c>
      <c r="D59" s="596">
        <v>297605</v>
      </c>
      <c r="E59" s="162"/>
      <c r="F59" s="163">
        <f>C59*(D59+E59)</f>
        <v>892815</v>
      </c>
      <c r="G59" s="162">
        <v>297605</v>
      </c>
      <c r="H59" s="162">
        <v>28987.5</v>
      </c>
      <c r="I59" s="596">
        <f t="shared" si="19"/>
        <v>326592.5</v>
      </c>
      <c r="J59" s="163">
        <f>C59*(G59+H59)</f>
        <v>979777.5</v>
      </c>
    </row>
    <row r="60" spans="1:11" x14ac:dyDescent="0.25">
      <c r="B60" s="160" t="s">
        <v>193</v>
      </c>
      <c r="C60" s="161">
        <v>10</v>
      </c>
      <c r="D60" s="596">
        <v>171992.5</v>
      </c>
      <c r="E60" s="162"/>
      <c r="F60" s="163">
        <f>C60*(D60+E60)</f>
        <v>1719925</v>
      </c>
      <c r="G60" s="162">
        <v>231900</v>
      </c>
      <c r="H60" s="162">
        <v>28987.5</v>
      </c>
      <c r="I60" s="596">
        <f t="shared" si="19"/>
        <v>260887.5</v>
      </c>
      <c r="J60" s="163">
        <f>C60*(G60+H60)</f>
        <v>2608875</v>
      </c>
    </row>
    <row r="61" spans="1:11" x14ac:dyDescent="0.25">
      <c r="B61" s="160" t="s">
        <v>194</v>
      </c>
      <c r="C61" s="161">
        <v>55</v>
      </c>
      <c r="D61" s="596">
        <v>88895</v>
      </c>
      <c r="E61" s="162"/>
      <c r="F61" s="163">
        <f>C61*(D61+E61)</f>
        <v>4889225</v>
      </c>
      <c r="G61" s="162">
        <v>170060</v>
      </c>
      <c r="H61" s="162">
        <v>17006</v>
      </c>
      <c r="I61" s="596">
        <f t="shared" si="19"/>
        <v>187066</v>
      </c>
      <c r="J61" s="163">
        <f>C61*(G61+H61)</f>
        <v>10288630</v>
      </c>
    </row>
    <row r="62" spans="1:11" x14ac:dyDescent="0.25">
      <c r="B62" s="160" t="s">
        <v>202</v>
      </c>
      <c r="C62" s="161">
        <v>8</v>
      </c>
      <c r="D62" s="162"/>
      <c r="E62" s="162"/>
      <c r="F62" s="163"/>
      <c r="G62" s="162"/>
      <c r="H62" s="162"/>
      <c r="I62" s="162"/>
      <c r="J62" s="163"/>
    </row>
    <row r="63" spans="1:11" x14ac:dyDescent="0.25">
      <c r="B63" s="164" t="s">
        <v>7</v>
      </c>
      <c r="C63" s="165">
        <f>SUM(C57:C62)</f>
        <v>77</v>
      </c>
      <c r="D63" s="911" t="s">
        <v>214</v>
      </c>
      <c r="E63" s="912"/>
      <c r="F63" s="172">
        <f>SUM(F57:F62)/0.65</f>
        <v>12159884.615384614</v>
      </c>
      <c r="G63" s="166"/>
      <c r="H63" s="912" t="s">
        <v>215</v>
      </c>
      <c r="I63" s="912"/>
      <c r="J63" s="172">
        <f>SUM(J57:J62)/0.65</f>
        <v>22018013.076923076</v>
      </c>
    </row>
    <row r="64" spans="1:11" x14ac:dyDescent="0.25">
      <c r="B64" s="135"/>
      <c r="C64" s="146"/>
      <c r="D64" s="913" t="s">
        <v>213</v>
      </c>
      <c r="E64" s="914"/>
      <c r="F64" s="173">
        <f>F63*12</f>
        <v>145918615.38461536</v>
      </c>
      <c r="G64" s="66"/>
      <c r="H64" s="914" t="s">
        <v>216</v>
      </c>
      <c r="I64" s="914"/>
      <c r="J64" s="173">
        <f>J63*12</f>
        <v>264216156.92307693</v>
      </c>
    </row>
    <row r="65" spans="1:10" s="17" customFormat="1" x14ac:dyDescent="0.25">
      <c r="A65" s="179"/>
      <c r="B65" s="1"/>
      <c r="C65" s="1"/>
      <c r="D65" s="180"/>
      <c r="E65" s="180"/>
      <c r="F65" s="181"/>
      <c r="G65" s="1"/>
      <c r="H65" s="180"/>
      <c r="I65" s="180"/>
      <c r="J65" s="181"/>
    </row>
    <row r="66" spans="1:10" x14ac:dyDescent="0.25">
      <c r="B66" s="168" t="s">
        <v>326</v>
      </c>
    </row>
    <row r="67" spans="1:10" x14ac:dyDescent="0.25">
      <c r="B67" s="60" t="s">
        <v>2</v>
      </c>
      <c r="C67" s="63" t="s">
        <v>1</v>
      </c>
      <c r="D67" s="63" t="s">
        <v>99</v>
      </c>
      <c r="E67" s="183" t="s">
        <v>60</v>
      </c>
      <c r="F67" s="150"/>
      <c r="G67" s="151"/>
    </row>
    <row r="68" spans="1:10" ht="45" x14ac:dyDescent="0.25">
      <c r="A68" s="56"/>
      <c r="B68" s="65" t="s">
        <v>90</v>
      </c>
      <c r="C68" s="156" t="s">
        <v>208</v>
      </c>
      <c r="D68" s="156" t="s">
        <v>209</v>
      </c>
      <c r="E68" s="156" t="s">
        <v>212</v>
      </c>
      <c r="F68" s="157" t="s">
        <v>91</v>
      </c>
      <c r="G68" s="184" t="s">
        <v>92</v>
      </c>
      <c r="H68" s="222"/>
      <c r="I68" s="222"/>
      <c r="J68" s="222"/>
    </row>
    <row r="69" spans="1:10" x14ac:dyDescent="0.25">
      <c r="A69" s="56"/>
      <c r="B69" s="160" t="s">
        <v>190</v>
      </c>
      <c r="C69" s="170">
        <v>1525.5530129672004</v>
      </c>
      <c r="D69" s="170">
        <f t="shared" ref="D69:D71" si="20">C69*$D$73/$C$73</f>
        <v>820.9806254767351</v>
      </c>
      <c r="E69" s="175">
        <v>820</v>
      </c>
      <c r="F69" s="69">
        <v>401960</v>
      </c>
      <c r="G69" s="789">
        <v>434426</v>
      </c>
      <c r="H69" s="222"/>
      <c r="I69" s="222"/>
      <c r="J69" s="222"/>
    </row>
    <row r="70" spans="1:10" x14ac:dyDescent="0.25">
      <c r="A70" s="56"/>
      <c r="B70" s="160" t="s">
        <v>191</v>
      </c>
      <c r="C70" s="170">
        <v>398.80358923230307</v>
      </c>
      <c r="D70" s="170">
        <f t="shared" si="20"/>
        <v>214.61726819541374</v>
      </c>
      <c r="E70" s="175">
        <v>300</v>
      </c>
      <c r="F70" s="69">
        <v>347850</v>
      </c>
      <c r="G70" s="789">
        <v>380316</v>
      </c>
      <c r="H70" s="1"/>
      <c r="I70" s="1"/>
      <c r="J70" s="1"/>
    </row>
    <row r="71" spans="1:10" x14ac:dyDescent="0.25">
      <c r="B71" s="160" t="s">
        <v>192</v>
      </c>
      <c r="C71" s="170">
        <v>120.66510606462823</v>
      </c>
      <c r="D71" s="170">
        <f t="shared" si="20"/>
        <v>64.936264690976657</v>
      </c>
      <c r="E71" s="175">
        <v>100</v>
      </c>
      <c r="F71" s="69">
        <v>297605</v>
      </c>
      <c r="G71" s="789">
        <v>326592.5</v>
      </c>
      <c r="H71" s="1"/>
      <c r="I71" s="1"/>
      <c r="J71" s="1"/>
    </row>
    <row r="72" spans="1:10" x14ac:dyDescent="0.25">
      <c r="B72" s="160" t="s">
        <v>193</v>
      </c>
      <c r="C72" s="170">
        <v>23.503088305803384</v>
      </c>
      <c r="D72" s="170">
        <f>C72*$D$73/$C$73</f>
        <v>12.648252780415346</v>
      </c>
      <c r="E72" s="175">
        <v>20</v>
      </c>
      <c r="F72" s="69">
        <v>171992.5</v>
      </c>
      <c r="G72" s="789">
        <v>260887.5</v>
      </c>
      <c r="H72" s="1"/>
      <c r="I72" s="1"/>
      <c r="J72" s="1"/>
    </row>
    <row r="73" spans="1:10" x14ac:dyDescent="0.25">
      <c r="B73" s="167" t="s">
        <v>194</v>
      </c>
      <c r="C73" s="171">
        <v>3.7164166013816153</v>
      </c>
      <c r="D73" s="171">
        <v>2</v>
      </c>
      <c r="E73" s="174">
        <v>3</v>
      </c>
      <c r="F73" s="790">
        <v>88895</v>
      </c>
      <c r="G73" s="791">
        <v>187066</v>
      </c>
      <c r="H73" s="1"/>
      <c r="I73" s="1"/>
      <c r="J73" s="1"/>
    </row>
    <row r="74" spans="1:10" x14ac:dyDescent="0.25">
      <c r="B74" s="182"/>
      <c r="C74" s="69"/>
      <c r="D74" s="69"/>
      <c r="E74" s="1"/>
      <c r="F74" s="155"/>
      <c r="G74" s="155"/>
      <c r="H74" s="1"/>
      <c r="I74" s="1"/>
      <c r="J74" s="1"/>
    </row>
    <row r="75" spans="1:10" ht="15.75" thickBot="1" x14ac:dyDescent="0.3">
      <c r="B75" s="186" t="s">
        <v>217</v>
      </c>
      <c r="C75" s="63" t="s">
        <v>54</v>
      </c>
      <c r="D75" s="63" t="s">
        <v>55</v>
      </c>
      <c r="E75" s="64" t="s">
        <v>60</v>
      </c>
      <c r="F75" s="155"/>
      <c r="G75" s="155"/>
      <c r="H75" s="1"/>
      <c r="I75" s="1"/>
      <c r="J75" s="1"/>
    </row>
    <row r="76" spans="1:10" ht="15.75" thickBot="1" x14ac:dyDescent="0.3">
      <c r="B76" s="597" t="s">
        <v>406</v>
      </c>
      <c r="C76" s="594">
        <f>F64</f>
        <v>145918615.38461536</v>
      </c>
      <c r="D76" s="594">
        <f>J64</f>
        <v>264216156.92307693</v>
      </c>
      <c r="E76" s="677">
        <v>205067386</v>
      </c>
      <c r="F76" s="155"/>
      <c r="G76" s="155"/>
      <c r="H76" s="1"/>
      <c r="I76" s="1"/>
      <c r="J76" s="1"/>
    </row>
    <row r="77" spans="1:10" ht="30.75" thickBot="1" x14ac:dyDescent="0.3">
      <c r="B77" s="598" t="s">
        <v>407</v>
      </c>
      <c r="C77" s="595" t="s">
        <v>54</v>
      </c>
      <c r="D77" s="595" t="s">
        <v>55</v>
      </c>
      <c r="E77" s="599" t="s">
        <v>60</v>
      </c>
      <c r="F77" s="155"/>
      <c r="G77" s="155"/>
      <c r="H77" s="1"/>
      <c r="I77" s="1"/>
      <c r="J77" s="1"/>
    </row>
    <row r="78" spans="1:10" x14ac:dyDescent="0.25">
      <c r="B78" s="160" t="s">
        <v>190</v>
      </c>
      <c r="C78" s="594">
        <v>401960</v>
      </c>
      <c r="D78" s="594">
        <v>434426</v>
      </c>
      <c r="E78" s="678">
        <f>AVERAGE(C78:D78)</f>
        <v>418193</v>
      </c>
      <c r="F78" s="155"/>
      <c r="G78" s="155"/>
      <c r="H78" s="1"/>
      <c r="I78" s="1"/>
      <c r="J78" s="1"/>
    </row>
    <row r="79" spans="1:10" x14ac:dyDescent="0.25">
      <c r="B79" s="160" t="s">
        <v>191</v>
      </c>
      <c r="C79" s="594">
        <v>347850</v>
      </c>
      <c r="D79" s="594">
        <v>380316</v>
      </c>
      <c r="E79" s="679">
        <f t="shared" ref="E79:E82" si="21">AVERAGE(C79:D79)</f>
        <v>364083</v>
      </c>
      <c r="F79" s="155"/>
      <c r="G79" s="155"/>
      <c r="H79" s="1"/>
      <c r="I79" s="1"/>
      <c r="J79" s="1"/>
    </row>
    <row r="80" spans="1:10" x14ac:dyDescent="0.25">
      <c r="B80" s="160" t="s">
        <v>192</v>
      </c>
      <c r="C80" s="594">
        <v>297605</v>
      </c>
      <c r="D80" s="594">
        <v>326592.5</v>
      </c>
      <c r="E80" s="679">
        <f t="shared" si="21"/>
        <v>312098.75</v>
      </c>
      <c r="F80" s="155"/>
      <c r="G80" s="155"/>
      <c r="H80" s="1"/>
      <c r="I80" s="1"/>
      <c r="J80" s="1"/>
    </row>
    <row r="81" spans="1:10" x14ac:dyDescent="0.25">
      <c r="B81" s="160" t="s">
        <v>193</v>
      </c>
      <c r="C81" s="594">
        <v>171992.5</v>
      </c>
      <c r="D81" s="594">
        <v>260887.5</v>
      </c>
      <c r="E81" s="679">
        <f t="shared" si="21"/>
        <v>216440</v>
      </c>
      <c r="F81" s="155"/>
      <c r="G81" s="155"/>
      <c r="H81" s="1"/>
      <c r="I81" s="1"/>
      <c r="J81" s="1"/>
    </row>
    <row r="82" spans="1:10" ht="15.75" thickBot="1" x14ac:dyDescent="0.3">
      <c r="B82" s="167" t="s">
        <v>194</v>
      </c>
      <c r="C82" s="185">
        <v>88895</v>
      </c>
      <c r="D82" s="185">
        <v>187066</v>
      </c>
      <c r="E82" s="680">
        <f t="shared" si="21"/>
        <v>137980.5</v>
      </c>
      <c r="F82" s="155"/>
      <c r="G82" s="155"/>
      <c r="H82" s="1"/>
      <c r="I82" s="1"/>
      <c r="J82" s="1"/>
    </row>
    <row r="83" spans="1:10" x14ac:dyDescent="0.25">
      <c r="B83" s="593"/>
      <c r="C83" s="69"/>
      <c r="D83" s="69"/>
      <c r="E83" s="69"/>
      <c r="F83" s="155"/>
      <c r="G83" s="155"/>
      <c r="H83" s="1"/>
      <c r="I83" s="1"/>
      <c r="J83" s="1"/>
    </row>
    <row r="84" spans="1:10" ht="15.75" thickBot="1" x14ac:dyDescent="0.3"/>
    <row r="85" spans="1:10" x14ac:dyDescent="0.25">
      <c r="B85" s="900" t="s">
        <v>186</v>
      </c>
      <c r="C85" s="867" t="s">
        <v>10</v>
      </c>
      <c r="D85" s="869" t="s">
        <v>1</v>
      </c>
      <c r="E85" s="870"/>
      <c r="F85" s="871"/>
      <c r="G85" s="869" t="s">
        <v>99</v>
      </c>
      <c r="H85" s="870"/>
      <c r="I85" s="871"/>
      <c r="J85" s="872" t="s">
        <v>112</v>
      </c>
    </row>
    <row r="86" spans="1:10" ht="15.75" thickBot="1" x14ac:dyDescent="0.3">
      <c r="B86" s="901"/>
      <c r="C86" s="868"/>
      <c r="D86" s="197" t="s">
        <v>86</v>
      </c>
      <c r="E86" s="198" t="s">
        <v>87</v>
      </c>
      <c r="F86" s="199" t="s">
        <v>112</v>
      </c>
      <c r="G86" s="197" t="s">
        <v>86</v>
      </c>
      <c r="H86" s="198" t="s">
        <v>87</v>
      </c>
      <c r="I86" s="199" t="s">
        <v>112</v>
      </c>
      <c r="J86" s="873"/>
    </row>
    <row r="87" spans="1:10" x14ac:dyDescent="0.25">
      <c r="B87" s="105" t="s">
        <v>8</v>
      </c>
      <c r="C87" s="149"/>
      <c r="D87" s="600">
        <f>C20</f>
        <v>1600</v>
      </c>
      <c r="E87" s="312">
        <f>D20</f>
        <v>700</v>
      </c>
      <c r="F87" s="601">
        <f>E20</f>
        <v>800</v>
      </c>
      <c r="G87" s="600">
        <f>C20</f>
        <v>1600</v>
      </c>
      <c r="H87" s="312">
        <f>D20</f>
        <v>700</v>
      </c>
      <c r="I87" s="601">
        <f>E20</f>
        <v>800</v>
      </c>
      <c r="J87" s="602">
        <f>E20</f>
        <v>800</v>
      </c>
    </row>
    <row r="88" spans="1:10" x14ac:dyDescent="0.25">
      <c r="B88" s="105" t="s">
        <v>3</v>
      </c>
      <c r="C88" s="200"/>
      <c r="D88" s="603">
        <f>$C$27</f>
        <v>1.44</v>
      </c>
      <c r="E88" s="309">
        <f>$C$27</f>
        <v>1.44</v>
      </c>
      <c r="F88" s="604">
        <f>$C$27</f>
        <v>1.44</v>
      </c>
      <c r="G88" s="309">
        <f>$D$27</f>
        <v>1</v>
      </c>
      <c r="H88" s="309">
        <f>$D$27</f>
        <v>1</v>
      </c>
      <c r="I88" s="604">
        <f>$D$27</f>
        <v>1</v>
      </c>
      <c r="J88" s="605">
        <f>$E$27</f>
        <v>1.22</v>
      </c>
    </row>
    <row r="89" spans="1:10" x14ac:dyDescent="0.25">
      <c r="B89" s="206" t="s">
        <v>163</v>
      </c>
      <c r="C89" s="223"/>
      <c r="D89" s="600">
        <f>'A. Építés'!D49</f>
        <v>0</v>
      </c>
      <c r="E89" s="312">
        <f>'A. Építés'!E49</f>
        <v>1</v>
      </c>
      <c r="F89" s="601">
        <f>'A. Építés'!F49</f>
        <v>1</v>
      </c>
      <c r="G89" s="312">
        <f>'A. Építés'!G49</f>
        <v>0</v>
      </c>
      <c r="H89" s="312">
        <f>'A. Építés'!H49</f>
        <v>2</v>
      </c>
      <c r="I89" s="601">
        <f>'A. Építés'!I49</f>
        <v>1</v>
      </c>
      <c r="J89" s="602">
        <f>'A. Építés'!J49</f>
        <v>1</v>
      </c>
    </row>
    <row r="90" spans="1:10" ht="30" x14ac:dyDescent="0.25">
      <c r="A90" s="7"/>
      <c r="B90" s="206" t="s">
        <v>183</v>
      </c>
      <c r="C90" s="223"/>
      <c r="D90" s="600">
        <f>'A. Építés'!D50</f>
        <v>0</v>
      </c>
      <c r="E90" s="312">
        <f>'A. Építés'!E50</f>
        <v>1008</v>
      </c>
      <c r="F90" s="601">
        <f>'A. Építés'!F50</f>
        <v>1152</v>
      </c>
      <c r="G90" s="312">
        <f>'A. Építés'!G50</f>
        <v>0</v>
      </c>
      <c r="H90" s="312">
        <f>'A. Építés'!H50</f>
        <v>1400</v>
      </c>
      <c r="I90" s="601">
        <f>'A. Építés'!I50</f>
        <v>800</v>
      </c>
      <c r="J90" s="602">
        <f>'A. Építés'!J50</f>
        <v>976</v>
      </c>
    </row>
    <row r="91" spans="1:10" x14ac:dyDescent="0.25">
      <c r="A91" s="7"/>
      <c r="B91" s="206" t="s">
        <v>211</v>
      </c>
      <c r="C91" s="223"/>
      <c r="D91" s="606">
        <f>C76</f>
        <v>145918615.38461536</v>
      </c>
      <c r="E91" s="536">
        <f>D76</f>
        <v>264216156.92307693</v>
      </c>
      <c r="F91" s="607">
        <f>E76</f>
        <v>205067386</v>
      </c>
      <c r="G91" s="536">
        <f>C76</f>
        <v>145918615.38461536</v>
      </c>
      <c r="H91" s="536">
        <f>D76</f>
        <v>264216156.92307693</v>
      </c>
      <c r="I91" s="607">
        <f>E76</f>
        <v>205067386</v>
      </c>
      <c r="J91" s="608">
        <f>E76</f>
        <v>205067386</v>
      </c>
    </row>
    <row r="92" spans="1:10" ht="30" x14ac:dyDescent="0.25">
      <c r="A92" s="7"/>
      <c r="B92" s="207" t="s">
        <v>218</v>
      </c>
      <c r="C92" s="225"/>
      <c r="D92" s="609"/>
      <c r="E92" s="610"/>
      <c r="F92" s="611"/>
      <c r="G92" s="610"/>
      <c r="H92" s="610"/>
      <c r="I92" s="611"/>
      <c r="J92" s="612"/>
    </row>
    <row r="93" spans="1:10" x14ac:dyDescent="0.25">
      <c r="A93" s="7"/>
      <c r="B93" s="208" t="s">
        <v>190</v>
      </c>
      <c r="C93" s="224"/>
      <c r="D93" s="613">
        <f>$C69</f>
        <v>1525.5530129672004</v>
      </c>
      <c r="E93" s="614">
        <f t="shared" ref="E93:F93" si="22">$C69</f>
        <v>1525.5530129672004</v>
      </c>
      <c r="F93" s="615">
        <f t="shared" si="22"/>
        <v>1525.5530129672004</v>
      </c>
      <c r="G93" s="613">
        <f>$D69</f>
        <v>820.9806254767351</v>
      </c>
      <c r="H93" s="614">
        <f t="shared" ref="H93:I93" si="23">$D69</f>
        <v>820.9806254767351</v>
      </c>
      <c r="I93" s="615">
        <f t="shared" si="23"/>
        <v>820.9806254767351</v>
      </c>
      <c r="J93" s="616">
        <f>E69</f>
        <v>820</v>
      </c>
    </row>
    <row r="94" spans="1:10" x14ac:dyDescent="0.25">
      <c r="A94" s="7"/>
      <c r="B94" s="208" t="s">
        <v>191</v>
      </c>
      <c r="C94" s="224"/>
      <c r="D94" s="613">
        <f t="shared" ref="D94:F97" si="24">$C70</f>
        <v>398.80358923230307</v>
      </c>
      <c r="E94" s="614">
        <f t="shared" si="24"/>
        <v>398.80358923230307</v>
      </c>
      <c r="F94" s="615">
        <f t="shared" si="24"/>
        <v>398.80358923230307</v>
      </c>
      <c r="G94" s="613">
        <f t="shared" ref="G94:I96" si="25">$D70</f>
        <v>214.61726819541374</v>
      </c>
      <c r="H94" s="614">
        <f t="shared" si="25"/>
        <v>214.61726819541374</v>
      </c>
      <c r="I94" s="615">
        <f t="shared" si="25"/>
        <v>214.61726819541374</v>
      </c>
      <c r="J94" s="616">
        <f>E70</f>
        <v>300</v>
      </c>
    </row>
    <row r="95" spans="1:10" x14ac:dyDescent="0.25">
      <c r="A95" s="7"/>
      <c r="B95" s="208" t="s">
        <v>192</v>
      </c>
      <c r="C95" s="224"/>
      <c r="D95" s="613">
        <f t="shared" si="24"/>
        <v>120.66510606462823</v>
      </c>
      <c r="E95" s="614">
        <f t="shared" si="24"/>
        <v>120.66510606462823</v>
      </c>
      <c r="F95" s="615">
        <f t="shared" si="24"/>
        <v>120.66510606462823</v>
      </c>
      <c r="G95" s="613">
        <f t="shared" si="25"/>
        <v>64.936264690976657</v>
      </c>
      <c r="H95" s="614">
        <f t="shared" si="25"/>
        <v>64.936264690976657</v>
      </c>
      <c r="I95" s="615">
        <f t="shared" si="25"/>
        <v>64.936264690976657</v>
      </c>
      <c r="J95" s="616">
        <f>E71</f>
        <v>100</v>
      </c>
    </row>
    <row r="96" spans="1:10" x14ac:dyDescent="0.25">
      <c r="A96" s="7"/>
      <c r="B96" s="208" t="s">
        <v>193</v>
      </c>
      <c r="C96" s="224"/>
      <c r="D96" s="613">
        <f t="shared" si="24"/>
        <v>23.503088305803384</v>
      </c>
      <c r="E96" s="614">
        <f t="shared" si="24"/>
        <v>23.503088305803384</v>
      </c>
      <c r="F96" s="615">
        <f t="shared" si="24"/>
        <v>23.503088305803384</v>
      </c>
      <c r="G96" s="613">
        <f t="shared" si="25"/>
        <v>12.648252780415346</v>
      </c>
      <c r="H96" s="614">
        <f t="shared" si="25"/>
        <v>12.648252780415346</v>
      </c>
      <c r="I96" s="615">
        <f t="shared" si="25"/>
        <v>12.648252780415346</v>
      </c>
      <c r="J96" s="616">
        <f>E72</f>
        <v>20</v>
      </c>
    </row>
    <row r="97" spans="1:10" x14ac:dyDescent="0.25">
      <c r="A97" s="7"/>
      <c r="B97" s="208" t="s">
        <v>194</v>
      </c>
      <c r="C97" s="224"/>
      <c r="D97" s="613">
        <f t="shared" si="24"/>
        <v>3.7164166013816153</v>
      </c>
      <c r="E97" s="614">
        <f t="shared" si="24"/>
        <v>3.7164166013816153</v>
      </c>
      <c r="F97" s="615">
        <f t="shared" si="24"/>
        <v>3.7164166013816153</v>
      </c>
      <c r="G97" s="613">
        <f>$D73</f>
        <v>2</v>
      </c>
      <c r="H97" s="614">
        <f t="shared" ref="H97:I97" si="26">$D73</f>
        <v>2</v>
      </c>
      <c r="I97" s="615">
        <f t="shared" si="26"/>
        <v>2</v>
      </c>
      <c r="J97" s="616">
        <f>E73</f>
        <v>3</v>
      </c>
    </row>
    <row r="98" spans="1:10" ht="30" x14ac:dyDescent="0.25">
      <c r="A98" s="7"/>
      <c r="B98" s="230" t="s">
        <v>220</v>
      </c>
      <c r="C98" s="225"/>
      <c r="D98" s="609"/>
      <c r="E98" s="610"/>
      <c r="F98" s="611"/>
      <c r="G98" s="610"/>
      <c r="H98" s="610"/>
      <c r="I98" s="611"/>
      <c r="J98" s="612"/>
    </row>
    <row r="99" spans="1:10" x14ac:dyDescent="0.25">
      <c r="A99" s="7"/>
      <c r="B99" s="209" t="s">
        <v>190</v>
      </c>
      <c r="C99" s="205"/>
      <c r="D99" s="606">
        <f>C78</f>
        <v>401960</v>
      </c>
      <c r="E99" s="536">
        <f t="shared" ref="E99:F99" si="27">D78</f>
        <v>434426</v>
      </c>
      <c r="F99" s="607">
        <f t="shared" si="27"/>
        <v>418193</v>
      </c>
      <c r="G99" s="536">
        <f>C78</f>
        <v>401960</v>
      </c>
      <c r="H99" s="536">
        <f t="shared" ref="H99:I99" si="28">D78</f>
        <v>434426</v>
      </c>
      <c r="I99" s="607">
        <f t="shared" si="28"/>
        <v>418193</v>
      </c>
      <c r="J99" s="608">
        <f>E78</f>
        <v>418193</v>
      </c>
    </row>
    <row r="100" spans="1:10" x14ac:dyDescent="0.25">
      <c r="A100" s="7"/>
      <c r="B100" s="209" t="s">
        <v>191</v>
      </c>
      <c r="C100" s="205"/>
      <c r="D100" s="606">
        <f t="shared" ref="D100:F100" si="29">C79</f>
        <v>347850</v>
      </c>
      <c r="E100" s="536">
        <f t="shared" si="29"/>
        <v>380316</v>
      </c>
      <c r="F100" s="607">
        <f t="shared" si="29"/>
        <v>364083</v>
      </c>
      <c r="G100" s="536">
        <f t="shared" ref="G100:G103" si="30">C79</f>
        <v>347850</v>
      </c>
      <c r="H100" s="536">
        <f t="shared" ref="H100:H103" si="31">D79</f>
        <v>380316</v>
      </c>
      <c r="I100" s="607">
        <f t="shared" ref="I100:I103" si="32">E79</f>
        <v>364083</v>
      </c>
      <c r="J100" s="608">
        <f t="shared" ref="J100:J103" si="33">E79</f>
        <v>364083</v>
      </c>
    </row>
    <row r="101" spans="1:10" x14ac:dyDescent="0.25">
      <c r="A101" s="7"/>
      <c r="B101" s="209" t="s">
        <v>192</v>
      </c>
      <c r="C101" s="205"/>
      <c r="D101" s="606">
        <f t="shared" ref="D101:F101" si="34">C80</f>
        <v>297605</v>
      </c>
      <c r="E101" s="536">
        <f t="shared" si="34"/>
        <v>326592.5</v>
      </c>
      <c r="F101" s="607">
        <f t="shared" si="34"/>
        <v>312098.75</v>
      </c>
      <c r="G101" s="536">
        <f t="shared" si="30"/>
        <v>297605</v>
      </c>
      <c r="H101" s="536">
        <f t="shared" si="31"/>
        <v>326592.5</v>
      </c>
      <c r="I101" s="607">
        <f t="shared" si="32"/>
        <v>312098.75</v>
      </c>
      <c r="J101" s="608">
        <f t="shared" si="33"/>
        <v>312098.75</v>
      </c>
    </row>
    <row r="102" spans="1:10" x14ac:dyDescent="0.25">
      <c r="A102" s="7"/>
      <c r="B102" s="209" t="s">
        <v>193</v>
      </c>
      <c r="C102" s="205"/>
      <c r="D102" s="606">
        <f t="shared" ref="D102:F102" si="35">C81</f>
        <v>171992.5</v>
      </c>
      <c r="E102" s="536">
        <f t="shared" si="35"/>
        <v>260887.5</v>
      </c>
      <c r="F102" s="607">
        <f t="shared" si="35"/>
        <v>216440</v>
      </c>
      <c r="G102" s="536">
        <f t="shared" si="30"/>
        <v>171992.5</v>
      </c>
      <c r="H102" s="536">
        <f t="shared" si="31"/>
        <v>260887.5</v>
      </c>
      <c r="I102" s="607">
        <f t="shared" si="32"/>
        <v>216440</v>
      </c>
      <c r="J102" s="608">
        <f t="shared" si="33"/>
        <v>216440</v>
      </c>
    </row>
    <row r="103" spans="1:10" x14ac:dyDescent="0.25">
      <c r="A103" s="7"/>
      <c r="B103" s="209" t="s">
        <v>194</v>
      </c>
      <c r="C103" s="205"/>
      <c r="D103" s="606">
        <f t="shared" ref="D103:F103" si="36">C82</f>
        <v>88895</v>
      </c>
      <c r="E103" s="536">
        <f t="shared" si="36"/>
        <v>187066</v>
      </c>
      <c r="F103" s="607">
        <f t="shared" si="36"/>
        <v>137980.5</v>
      </c>
      <c r="G103" s="536">
        <f t="shared" si="30"/>
        <v>88895</v>
      </c>
      <c r="H103" s="536">
        <f t="shared" si="31"/>
        <v>187066</v>
      </c>
      <c r="I103" s="607">
        <f t="shared" si="32"/>
        <v>137980.5</v>
      </c>
      <c r="J103" s="608">
        <f t="shared" si="33"/>
        <v>137980.5</v>
      </c>
    </row>
    <row r="104" spans="1:10" ht="30" x14ac:dyDescent="0.25">
      <c r="A104" s="7"/>
      <c r="B104" s="210" t="s">
        <v>219</v>
      </c>
      <c r="C104" s="225"/>
      <c r="D104" s="226"/>
      <c r="E104" s="227"/>
      <c r="F104" s="228"/>
      <c r="G104" s="227"/>
      <c r="H104" s="227"/>
      <c r="I104" s="228"/>
      <c r="J104" s="229"/>
    </row>
    <row r="105" spans="1:10" x14ac:dyDescent="0.25">
      <c r="B105" s="208" t="s">
        <v>190</v>
      </c>
      <c r="C105" s="224"/>
      <c r="D105" s="211">
        <f>IF(D$89=0,0,D$89*TRUNC((D$90/D$89-108)/D93))</f>
        <v>0</v>
      </c>
      <c r="E105" s="170">
        <f t="shared" ref="E105:J105" si="37">IF(E$89=0,0,E$89*TRUNC((E$90/E$89-108)/E93))</f>
        <v>0</v>
      </c>
      <c r="F105" s="590">
        <f t="shared" si="37"/>
        <v>0</v>
      </c>
      <c r="G105" s="211">
        <f t="shared" si="37"/>
        <v>0</v>
      </c>
      <c r="H105" s="170">
        <f t="shared" si="37"/>
        <v>0</v>
      </c>
      <c r="I105" s="591">
        <f t="shared" si="37"/>
        <v>0</v>
      </c>
      <c r="J105" s="176">
        <f t="shared" si="37"/>
        <v>1</v>
      </c>
    </row>
    <row r="106" spans="1:10" x14ac:dyDescent="0.25">
      <c r="B106" s="208" t="s">
        <v>191</v>
      </c>
      <c r="C106" s="224"/>
      <c r="D106" s="211">
        <f t="shared" ref="D106:J106" si="38">IF(D$89=0,0,D$89*TRUNC((D$90/D$89-108)/D94))</f>
        <v>0</v>
      </c>
      <c r="E106" s="170">
        <f t="shared" si="38"/>
        <v>2</v>
      </c>
      <c r="F106" s="590">
        <f t="shared" si="38"/>
        <v>2</v>
      </c>
      <c r="G106" s="211">
        <f t="shared" si="38"/>
        <v>0</v>
      </c>
      <c r="H106" s="170">
        <f t="shared" si="38"/>
        <v>4</v>
      </c>
      <c r="I106" s="591">
        <f t="shared" si="38"/>
        <v>3</v>
      </c>
      <c r="J106" s="176">
        <f t="shared" si="38"/>
        <v>2</v>
      </c>
    </row>
    <row r="107" spans="1:10" x14ac:dyDescent="0.25">
      <c r="B107" s="208" t="s">
        <v>192</v>
      </c>
      <c r="C107" s="224"/>
      <c r="D107" s="211">
        <f t="shared" ref="D107:J107" si="39">IF(D$89=0,0,D$89*TRUNC((D$90/D$89-108)/D95))</f>
        <v>0</v>
      </c>
      <c r="E107" s="170">
        <f>IF(E$89=0,0,E$89*TRUNC((E$90/E$89-108)/E95))</f>
        <v>7</v>
      </c>
      <c r="F107" s="590">
        <f t="shared" si="39"/>
        <v>8</v>
      </c>
      <c r="G107" s="211">
        <f t="shared" si="39"/>
        <v>0</v>
      </c>
      <c r="H107" s="170">
        <f t="shared" si="39"/>
        <v>18</v>
      </c>
      <c r="I107" s="591">
        <f t="shared" si="39"/>
        <v>10</v>
      </c>
      <c r="J107" s="176">
        <f t="shared" si="39"/>
        <v>8</v>
      </c>
    </row>
    <row r="108" spans="1:10" x14ac:dyDescent="0.25">
      <c r="B108" s="208" t="s">
        <v>193</v>
      </c>
      <c r="C108" s="224"/>
      <c r="D108" s="211">
        <f t="shared" ref="D108:J108" si="40">IF(D$89=0,0,D$89*TRUNC((D$90/D$89-108)/D96))</f>
        <v>0</v>
      </c>
      <c r="E108" s="170">
        <f t="shared" si="40"/>
        <v>38</v>
      </c>
      <c r="F108" s="590">
        <f t="shared" si="40"/>
        <v>44</v>
      </c>
      <c r="G108" s="211">
        <f t="shared" si="40"/>
        <v>0</v>
      </c>
      <c r="H108" s="170">
        <f t="shared" si="40"/>
        <v>92</v>
      </c>
      <c r="I108" s="591">
        <f t="shared" si="40"/>
        <v>54</v>
      </c>
      <c r="J108" s="176">
        <f t="shared" si="40"/>
        <v>43</v>
      </c>
    </row>
    <row r="109" spans="1:10" x14ac:dyDescent="0.25">
      <c r="B109" s="208" t="s">
        <v>194</v>
      </c>
      <c r="C109" s="224"/>
      <c r="D109" s="211">
        <f t="shared" ref="D109:J109" si="41">IF(D$89=0,0,D$89*TRUNC((D$90/D$89-108)/D97))</f>
        <v>0</v>
      </c>
      <c r="E109" s="170">
        <f t="shared" si="41"/>
        <v>242</v>
      </c>
      <c r="F109" s="590">
        <f t="shared" si="41"/>
        <v>280</v>
      </c>
      <c r="G109" s="211">
        <f t="shared" si="41"/>
        <v>0</v>
      </c>
      <c r="H109" s="170">
        <f t="shared" si="41"/>
        <v>592</v>
      </c>
      <c r="I109" s="591">
        <f t="shared" si="41"/>
        <v>346</v>
      </c>
      <c r="J109" s="176">
        <f t="shared" si="41"/>
        <v>289</v>
      </c>
    </row>
    <row r="110" spans="1:10" ht="30" x14ac:dyDescent="0.25">
      <c r="B110" s="691" t="s">
        <v>187</v>
      </c>
      <c r="C110" s="692"/>
      <c r="D110" s="778">
        <f>IF(D89=0,0,D89*D91+(D105*D99+D106*D100+D107*D101+D108*D102+D109*D103)/0.65*12)</f>
        <v>0</v>
      </c>
      <c r="E110" s="779">
        <f t="shared" ref="E110:J110" si="42">IF(E89=0,0,E89*E91+(E105*E99+E106*E100+E107*E101+E108*E102+E109*E103)/0.65*12)</f>
        <v>1339240338.4615386</v>
      </c>
      <c r="F110" s="779">
        <f t="shared" si="42"/>
        <v>1153673958.3076923</v>
      </c>
      <c r="G110" s="778">
        <f t="shared" si="42"/>
        <v>0</v>
      </c>
      <c r="H110" s="779">
        <f t="shared" si="42"/>
        <v>3152641255.3846154</v>
      </c>
      <c r="I110" s="780">
        <f t="shared" si="42"/>
        <v>1380001222.9230769</v>
      </c>
      <c r="J110" s="781">
        <f t="shared" si="42"/>
        <v>1180324619.8461537</v>
      </c>
    </row>
    <row r="111" spans="1:10" ht="30" x14ac:dyDescent="0.25">
      <c r="B111" s="693" t="s">
        <v>188</v>
      </c>
      <c r="C111" s="692"/>
      <c r="D111" s="778">
        <f>IF(D90=0,0,D110/D90)</f>
        <v>0</v>
      </c>
      <c r="E111" s="779">
        <f t="shared" ref="E111:J111" si="43">IF(E90=0,0,E110/E90)</f>
        <v>1328611.446886447</v>
      </c>
      <c r="F111" s="779">
        <f t="shared" si="43"/>
        <v>1001453.0888087606</v>
      </c>
      <c r="G111" s="778">
        <f t="shared" si="43"/>
        <v>0</v>
      </c>
      <c r="H111" s="779">
        <f t="shared" si="43"/>
        <v>2251886.6109890109</v>
      </c>
      <c r="I111" s="780">
        <f t="shared" si="43"/>
        <v>1725001.5286538461</v>
      </c>
      <c r="J111" s="781">
        <f t="shared" si="43"/>
        <v>1209348.99574401</v>
      </c>
    </row>
    <row r="112" spans="1:10" ht="45" x14ac:dyDescent="0.25">
      <c r="B112" s="693" t="s">
        <v>189</v>
      </c>
      <c r="C112" s="692"/>
      <c r="D112" s="778">
        <f>D111/365</f>
        <v>0</v>
      </c>
      <c r="E112" s="779">
        <f t="shared" ref="E112:J112" si="44">E111/365</f>
        <v>3640.0313613327316</v>
      </c>
      <c r="F112" s="779">
        <f t="shared" si="44"/>
        <v>2743.7070926267415</v>
      </c>
      <c r="G112" s="778">
        <f t="shared" si="44"/>
        <v>0</v>
      </c>
      <c r="H112" s="779">
        <f t="shared" si="44"/>
        <v>6169.5523588740025</v>
      </c>
      <c r="I112" s="780">
        <f t="shared" si="44"/>
        <v>4726.0315853530028</v>
      </c>
      <c r="J112" s="781">
        <f t="shared" si="44"/>
        <v>3313.2849198466029</v>
      </c>
    </row>
    <row r="113" spans="2:10" ht="30" x14ac:dyDescent="0.25">
      <c r="B113" s="693" t="s">
        <v>205</v>
      </c>
      <c r="C113" s="692"/>
      <c r="D113" s="782">
        <v>0</v>
      </c>
      <c r="E113" s="783">
        <v>0</v>
      </c>
      <c r="F113" s="784">
        <v>0</v>
      </c>
      <c r="G113" s="782">
        <f>(TRUNC(($C$16-G90)/G93)*G99+TRUNC(($C$16-G90)/G94)*G100+TRUNC(($C$16-G90)/G95)*G101+TRUNC(($C$16-G90)/G96)*G102+TRUNC(($C$16-G90)/G97)*G103)/0.65*12</f>
        <v>1777852430.7692306</v>
      </c>
      <c r="H113" s="783">
        <f t="shared" ref="H113:J113" si="45">(TRUNC(($C$16-H90)/H93)*H99+TRUNC(($C$16-H90)/H94)*H100+TRUNC(($C$16-H90)/H95)*H101+TRUNC(($C$16-H90)/H96)*H102+TRUNC(($C$16-H90)/H97)*H103)/0.65*12</f>
        <v>212420400</v>
      </c>
      <c r="I113" s="784">
        <f t="shared" si="45"/>
        <v>1189118981.5384617</v>
      </c>
      <c r="J113" s="781">
        <f t="shared" si="45"/>
        <v>582657669.23076916</v>
      </c>
    </row>
    <row r="114" spans="2:10" ht="45" x14ac:dyDescent="0.25">
      <c r="B114" s="114" t="s">
        <v>206</v>
      </c>
      <c r="C114" s="694"/>
      <c r="D114" s="782">
        <v>0</v>
      </c>
      <c r="E114" s="783">
        <v>0</v>
      </c>
      <c r="F114" s="784">
        <v>0</v>
      </c>
      <c r="G114" s="782">
        <f>G113/($C$16-G90)</f>
        <v>1185234.9538461538</v>
      </c>
      <c r="H114" s="783">
        <f t="shared" ref="H114:J114" si="46">H113/($C$16-H90)</f>
        <v>2124204</v>
      </c>
      <c r="I114" s="784">
        <f t="shared" si="46"/>
        <v>1698741.4021978024</v>
      </c>
      <c r="J114" s="781">
        <f t="shared" si="46"/>
        <v>1111942.1168526129</v>
      </c>
    </row>
    <row r="115" spans="2:10" ht="45.75" thickBot="1" x14ac:dyDescent="0.3">
      <c r="B115" s="116" t="s">
        <v>207</v>
      </c>
      <c r="C115" s="695"/>
      <c r="D115" s="785">
        <v>0</v>
      </c>
      <c r="E115" s="786">
        <v>0</v>
      </c>
      <c r="F115" s="787">
        <v>0</v>
      </c>
      <c r="G115" s="785">
        <f>G114/365</f>
        <v>3247.219051633298</v>
      </c>
      <c r="H115" s="786">
        <f t="shared" ref="H115:J115" si="47">H114/365</f>
        <v>5819.7369863013701</v>
      </c>
      <c r="I115" s="787">
        <f t="shared" si="47"/>
        <v>4654.0860334186373</v>
      </c>
      <c r="J115" s="788">
        <f t="shared" si="47"/>
        <v>3046.4167585003092</v>
      </c>
    </row>
    <row r="121" spans="2:10" x14ac:dyDescent="0.25">
      <c r="E121" s="592"/>
    </row>
    <row r="122" spans="2:10" x14ac:dyDescent="0.25">
      <c r="E122" s="592"/>
    </row>
    <row r="125" spans="2:10" x14ac:dyDescent="0.25">
      <c r="F125" s="34"/>
    </row>
  </sheetData>
  <sheetProtection algorithmName="SHA-512" hashValue="KVR4yfx802XQQTLMbPl7tbh+FXSV8ffTv6Uj8roJs84CCpSrAAjZG6UP+F/Rso6hEpmRle8JrOgOfa8X15j+zQ==" saltValue="eLMDFXAhXC+W3DqCeMnMAA==" spinCount="100000" sheet="1" objects="1" scenarios="1"/>
  <mergeCells count="29">
    <mergeCell ref="J34:J35"/>
    <mergeCell ref="B2:B3"/>
    <mergeCell ref="C2:C3"/>
    <mergeCell ref="D2:F2"/>
    <mergeCell ref="G2:I2"/>
    <mergeCell ref="J2:J3"/>
    <mergeCell ref="B9:B10"/>
    <mergeCell ref="C9:C10"/>
    <mergeCell ref="D9:F9"/>
    <mergeCell ref="G9:I9"/>
    <mergeCell ref="J9:J10"/>
    <mergeCell ref="F30:G30"/>
    <mergeCell ref="B34:B35"/>
    <mergeCell ref="C34:C35"/>
    <mergeCell ref="D34:F34"/>
    <mergeCell ref="G34:I34"/>
    <mergeCell ref="J85:J86"/>
    <mergeCell ref="B55:B56"/>
    <mergeCell ref="C55:C56"/>
    <mergeCell ref="D55:F55"/>
    <mergeCell ref="G55:J55"/>
    <mergeCell ref="D63:E63"/>
    <mergeCell ref="D64:E64"/>
    <mergeCell ref="H63:I63"/>
    <mergeCell ref="H64:I64"/>
    <mergeCell ref="B85:B86"/>
    <mergeCell ref="C85:C86"/>
    <mergeCell ref="D85:F85"/>
    <mergeCell ref="G85:I85"/>
  </mergeCells>
  <dataValidations count="7">
    <dataValidation type="whole" errorStyle="warning" allowBlank="1" showInputMessage="1" showErrorMessage="1" errorTitle="Kiugró érték" error="Nem az alsó és felső határ között értéket adott meg. " promptTitle="Alapszemélyzet költsége" prompt="Az átlagos érték: 205 067 386" sqref="E76">
      <formula1>C76</formula1>
      <formula2>D76</formula2>
    </dataValidation>
    <dataValidation type="whole" errorStyle="warning" allowBlank="1" showInputMessage="1" showErrorMessage="1" errorTitle="Kiugró érték" error="Nem az alsó és felső határ között értéket adott meg. " promptTitle="Főosztályvezető illetménye" prompt="Az átlagos érték: 418 193" sqref="E78">
      <formula1>C78</formula1>
      <formula2>D78</formula2>
    </dataValidation>
    <dataValidation type="whole" errorStyle="warning" allowBlank="1" showInputMessage="1" showErrorMessage="1" errorTitle="Kiugró érték" error="Nem az alsó és felső határ között értéket adott meg. " promptTitle="Főosztályvezetőh. illetménye" prompt="Az átlagos érték 364 083_x000a_" sqref="E79">
      <formula1>C79</formula1>
      <formula2>D79</formula2>
    </dataValidation>
    <dataValidation type="whole" errorStyle="warning" allowBlank="1" showInputMessage="1" showErrorMessage="1" errorTitle="Kiugró érték" error="Nem az alsó és felső határ között értéket adott meg. " promptTitle="Osztályvezető illetménye" prompt="Az átlagos érték 312 099" sqref="E80">
      <formula1>C80</formula1>
      <formula2>D80</formula2>
    </dataValidation>
    <dataValidation type="whole" errorStyle="warning" allowBlank="1" showInputMessage="1" showErrorMessage="1" errorTitle="Kiugró érték" error="Nem az alsó és felső határ között értéket adott meg. " promptTitle="Tiszt illetménye" prompt="Átlagos érték: 216 440_x000a_" sqref="E81">
      <formula1>C81</formula1>
      <formula2>D81</formula2>
    </dataValidation>
    <dataValidation type="whole" errorStyle="warning" allowBlank="1" showInputMessage="1" showErrorMessage="1" errorTitle="Kiugró érték" error="Nem az alsó és felső határ között értéket adott meg. " promptTitle="Tiszthelyettes illetménye" prompt="Átlagos érték: 137 981_x000a_" sqref="E82">
      <formula1>C82</formula1>
      <formula2>D82</formula2>
    </dataValidation>
    <dataValidation allowBlank="1" showInputMessage="1" showErrorMessage="1" promptTitle="Munkaviszony átlaghossza" prompt="Ettól a paramétertől függ, hogy mennyinek számítjuk a kiképzés éves költségét, mivel az egy főre eső képzési költséget ezzel az átlagértékkel osztjuk le, hogy egy évre eső költséget kapjunk." sqref="E23"/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2"/>
  <sheetViews>
    <sheetView topLeftCell="A29" workbookViewId="0">
      <selection activeCell="I31" sqref="I31"/>
    </sheetView>
  </sheetViews>
  <sheetFormatPr defaultRowHeight="15" x14ac:dyDescent="0.25"/>
  <cols>
    <col min="1" max="1" width="7.5703125" style="339" customWidth="1"/>
    <col min="2" max="2" width="39.5703125" style="339" customWidth="1"/>
    <col min="3" max="3" width="16.5703125" style="329" customWidth="1"/>
    <col min="4" max="4" width="23.28515625" style="329" customWidth="1"/>
    <col min="5" max="5" width="16.85546875" style="329" bestFit="1" customWidth="1"/>
    <col min="6" max="6" width="14.42578125" style="329" customWidth="1"/>
    <col min="7" max="7" width="15" style="329" customWidth="1"/>
    <col min="8" max="9" width="15.85546875" style="329" customWidth="1"/>
    <col min="10" max="10" width="13.42578125" style="329" customWidth="1"/>
    <col min="11" max="16" width="9.140625" style="329"/>
    <col min="17" max="20" width="29.140625" style="329" customWidth="1"/>
    <col min="21" max="16384" width="9.140625" style="329"/>
  </cols>
  <sheetData>
    <row r="1" spans="1:20" ht="15.75" thickBot="1" x14ac:dyDescent="0.3">
      <c r="A1" s="220"/>
      <c r="B1" s="328" t="s">
        <v>265</v>
      </c>
    </row>
    <row r="2" spans="1:20" ht="15.75" customHeight="1" x14ac:dyDescent="0.25">
      <c r="A2" s="220"/>
      <c r="B2" s="853" t="s">
        <v>6</v>
      </c>
      <c r="C2" s="855" t="s">
        <v>10</v>
      </c>
      <c r="D2" s="857" t="s">
        <v>1</v>
      </c>
      <c r="E2" s="858"/>
      <c r="F2" s="859"/>
      <c r="G2" s="857" t="s">
        <v>99</v>
      </c>
      <c r="H2" s="858"/>
      <c r="I2" s="859"/>
      <c r="J2" s="861" t="s">
        <v>112</v>
      </c>
    </row>
    <row r="3" spans="1:20" ht="15.75" thickBot="1" x14ac:dyDescent="0.3">
      <c r="A3" s="220"/>
      <c r="B3" s="854"/>
      <c r="C3" s="856"/>
      <c r="D3" s="288" t="s">
        <v>86</v>
      </c>
      <c r="E3" s="289" t="s">
        <v>87</v>
      </c>
      <c r="F3" s="290" t="s">
        <v>112</v>
      </c>
      <c r="G3" s="288" t="s">
        <v>86</v>
      </c>
      <c r="H3" s="289" t="s">
        <v>87</v>
      </c>
      <c r="I3" s="290" t="s">
        <v>112</v>
      </c>
      <c r="J3" s="862"/>
    </row>
    <row r="4" spans="1:20" x14ac:dyDescent="0.25">
      <c r="A4" s="220"/>
      <c r="B4" s="84" t="s">
        <v>252</v>
      </c>
      <c r="C4" s="793">
        <f>C90</f>
        <v>1830534733.5</v>
      </c>
      <c r="D4" s="725">
        <f t="shared" ref="D4:J4" si="0">D90</f>
        <v>142343377.15887478</v>
      </c>
      <c r="E4" s="726">
        <f t="shared" si="0"/>
        <v>183243727.79327521</v>
      </c>
      <c r="F4" s="727">
        <f t="shared" si="0"/>
        <v>150339361.54586715</v>
      </c>
      <c r="G4" s="725">
        <f t="shared" si="0"/>
        <v>196871903.66392589</v>
      </c>
      <c r="H4" s="726">
        <f t="shared" si="0"/>
        <v>276150359.48494965</v>
      </c>
      <c r="I4" s="728">
        <f t="shared" si="0"/>
        <v>203409043.55052</v>
      </c>
      <c r="J4" s="526">
        <f t="shared" si="0"/>
        <v>175174597.21731672</v>
      </c>
      <c r="Q4" s="339" t="s">
        <v>118</v>
      </c>
    </row>
    <row r="5" spans="1:20" x14ac:dyDescent="0.25">
      <c r="B5" s="84" t="s">
        <v>253</v>
      </c>
      <c r="C5" s="793">
        <f t="shared" ref="C5:J6" si="1">C91</f>
        <v>100878.14027884933</v>
      </c>
      <c r="D5" s="725">
        <f t="shared" si="1"/>
        <v>94895.584772583185</v>
      </c>
      <c r="E5" s="726">
        <f t="shared" si="1"/>
        <v>122162.4851955168</v>
      </c>
      <c r="F5" s="727">
        <f t="shared" si="1"/>
        <v>100226.24103057809</v>
      </c>
      <c r="G5" s="725">
        <f t="shared" si="1"/>
        <v>131247.93577595058</v>
      </c>
      <c r="H5" s="726">
        <f t="shared" si="1"/>
        <v>184100.23965663309</v>
      </c>
      <c r="I5" s="727">
        <f t="shared" si="1"/>
        <v>135606.02903368001</v>
      </c>
      <c r="J5" s="526">
        <f t="shared" si="1"/>
        <v>116783.06481154448</v>
      </c>
      <c r="Q5" s="330" t="s">
        <v>38</v>
      </c>
      <c r="R5" s="310" t="s">
        <v>54</v>
      </c>
      <c r="S5" s="310" t="s">
        <v>55</v>
      </c>
      <c r="T5" s="153" t="s">
        <v>60</v>
      </c>
    </row>
    <row r="6" spans="1:20" ht="15.75" thickBot="1" x14ac:dyDescent="0.3">
      <c r="B6" s="85" t="s">
        <v>254</v>
      </c>
      <c r="C6" s="794">
        <f t="shared" si="1"/>
        <v>276.3784665173954</v>
      </c>
      <c r="D6" s="730">
        <f t="shared" si="1"/>
        <v>259.98790348652926</v>
      </c>
      <c r="E6" s="731">
        <f t="shared" si="1"/>
        <v>334.69174026168986</v>
      </c>
      <c r="F6" s="732">
        <f t="shared" si="1"/>
        <v>274.59244117966603</v>
      </c>
      <c r="G6" s="730">
        <f t="shared" si="1"/>
        <v>359.58338568753584</v>
      </c>
      <c r="H6" s="731">
        <f t="shared" si="1"/>
        <v>504.38421823735092</v>
      </c>
      <c r="I6" s="732">
        <f t="shared" si="1"/>
        <v>371.52336721556168</v>
      </c>
      <c r="J6" s="527">
        <f t="shared" si="1"/>
        <v>319.95360222340952</v>
      </c>
      <c r="Q6" s="220" t="s">
        <v>106</v>
      </c>
      <c r="R6" s="188">
        <v>0.01</v>
      </c>
      <c r="S6" s="188">
        <v>0.03</v>
      </c>
      <c r="T6" s="380"/>
    </row>
    <row r="7" spans="1:20" x14ac:dyDescent="0.25">
      <c r="B7" s="220"/>
      <c r="C7" s="299"/>
      <c r="D7" s="193"/>
      <c r="E7" s="193"/>
      <c r="G7" s="193"/>
      <c r="H7" s="193"/>
      <c r="I7" s="193"/>
      <c r="J7" s="193"/>
    </row>
    <row r="8" spans="1:20" ht="15.75" thickBot="1" x14ac:dyDescent="0.3">
      <c r="B8" s="330" t="s">
        <v>118</v>
      </c>
      <c r="C8" s="299"/>
      <c r="D8" s="193"/>
      <c r="E8" s="193"/>
      <c r="G8" s="193"/>
      <c r="H8" s="193"/>
      <c r="I8" s="193"/>
      <c r="J8" s="193"/>
    </row>
    <row r="9" spans="1:20" x14ac:dyDescent="0.25">
      <c r="B9" s="853" t="s">
        <v>6</v>
      </c>
      <c r="C9" s="855" t="s">
        <v>10</v>
      </c>
      <c r="D9" s="857" t="s">
        <v>1</v>
      </c>
      <c r="E9" s="858"/>
      <c r="F9" s="859"/>
      <c r="G9" s="857" t="s">
        <v>99</v>
      </c>
      <c r="H9" s="858"/>
      <c r="I9" s="859"/>
      <c r="J9" s="861" t="s">
        <v>112</v>
      </c>
    </row>
    <row r="10" spans="1:20" ht="15.75" thickBot="1" x14ac:dyDescent="0.3">
      <c r="B10" s="854"/>
      <c r="C10" s="856"/>
      <c r="D10" s="288" t="s">
        <v>86</v>
      </c>
      <c r="E10" s="289" t="s">
        <v>87</v>
      </c>
      <c r="F10" s="290" t="s">
        <v>112</v>
      </c>
      <c r="G10" s="288" t="s">
        <v>86</v>
      </c>
      <c r="H10" s="289" t="s">
        <v>87</v>
      </c>
      <c r="I10" s="290" t="s">
        <v>112</v>
      </c>
      <c r="J10" s="862"/>
    </row>
    <row r="11" spans="1:20" x14ac:dyDescent="0.25">
      <c r="B11" s="109" t="s">
        <v>252</v>
      </c>
      <c r="C11" s="292"/>
      <c r="D11" s="189"/>
      <c r="E11" s="190"/>
      <c r="F11" s="191"/>
      <c r="G11" s="189"/>
      <c r="H11" s="190"/>
      <c r="I11" s="191"/>
      <c r="J11" s="192"/>
    </row>
    <row r="12" spans="1:20" x14ac:dyDescent="0.25">
      <c r="B12" s="109" t="s">
        <v>253</v>
      </c>
      <c r="C12" s="292"/>
      <c r="D12" s="189"/>
      <c r="E12" s="190"/>
      <c r="F12" s="191"/>
      <c r="G12" s="189"/>
      <c r="H12" s="190"/>
      <c r="I12" s="191"/>
      <c r="J12" s="192"/>
    </row>
    <row r="13" spans="1:20" ht="15.75" thickBot="1" x14ac:dyDescent="0.3">
      <c r="B13" s="243" t="s">
        <v>254</v>
      </c>
      <c r="C13" s="381"/>
      <c r="D13" s="382"/>
      <c r="E13" s="383"/>
      <c r="F13" s="384"/>
      <c r="G13" s="382"/>
      <c r="H13" s="383"/>
      <c r="I13" s="384"/>
      <c r="J13" s="195"/>
    </row>
    <row r="14" spans="1:20" x14ac:dyDescent="0.25">
      <c r="B14" s="220"/>
      <c r="C14" s="299"/>
      <c r="D14" s="193"/>
      <c r="E14" s="193"/>
      <c r="F14" s="193"/>
      <c r="G14" s="193"/>
      <c r="H14" s="193"/>
      <c r="I14" s="193"/>
    </row>
    <row r="15" spans="1:20" x14ac:dyDescent="0.25">
      <c r="B15" s="76" t="s">
        <v>56</v>
      </c>
      <c r="C15" s="88"/>
    </row>
    <row r="16" spans="1:20" x14ac:dyDescent="0.25">
      <c r="B16" s="87" t="s">
        <v>11</v>
      </c>
      <c r="C16" s="375">
        <f>'1. Paraméterek - Eredmények'!C33</f>
        <v>1500</v>
      </c>
    </row>
    <row r="17" spans="2:10" x14ac:dyDescent="0.25">
      <c r="B17" s="220"/>
      <c r="C17" s="299"/>
    </row>
    <row r="18" spans="2:10" x14ac:dyDescent="0.25">
      <c r="B18" s="76" t="s">
        <v>228</v>
      </c>
      <c r="C18" s="412"/>
      <c r="D18" s="371"/>
      <c r="E18" s="372"/>
    </row>
    <row r="19" spans="2:10" x14ac:dyDescent="0.25">
      <c r="B19" s="373" t="s">
        <v>37</v>
      </c>
      <c r="C19" s="299"/>
      <c r="D19" s="97"/>
      <c r="E19" s="374"/>
    </row>
    <row r="20" spans="2:10" x14ac:dyDescent="0.25">
      <c r="B20" s="413" t="s">
        <v>4</v>
      </c>
      <c r="C20" s="271">
        <f>'1. Paraméterek - Eredmények'!C38</f>
        <v>18146</v>
      </c>
      <c r="D20" s="97"/>
      <c r="E20" s="374"/>
    </row>
    <row r="21" spans="2:10" x14ac:dyDescent="0.25">
      <c r="B21" s="413" t="str">
        <f>'1. Paraméterek - Eredmények'!B40</f>
        <v>ebből előzetes letartóztatásban levő / arány az összes előzetes letartóztatásban levő és jogerősen elítélthez képest</v>
      </c>
      <c r="C21" s="271">
        <f>'1. Paraméterek - Eredmények'!C40</f>
        <v>5091</v>
      </c>
      <c r="D21" s="97"/>
      <c r="E21" s="374"/>
    </row>
    <row r="22" spans="2:10" x14ac:dyDescent="0.25">
      <c r="B22" s="414" t="str">
        <f>'1. Paraméterek - Eredmények'!B43</f>
        <v>Jelenlegi személyi állomány (statisztikai)</v>
      </c>
      <c r="C22" s="271">
        <f>'1. Paraméterek - Eredmények'!C43</f>
        <v>7712</v>
      </c>
      <c r="D22" s="97"/>
      <c r="E22" s="374"/>
    </row>
    <row r="23" spans="2:10" ht="45" x14ac:dyDescent="0.25">
      <c r="B23" s="414" t="str">
        <f>'1. Paraméterek - Eredmények'!B44</f>
        <v>Foglalkoztatott fogvatartott száma jelenleg / arány a jogerősen elítélt fogvatartottakhoz képest</v>
      </c>
      <c r="C23" s="271">
        <f>'1. Paraméterek - Eredmények'!C44</f>
        <v>7240</v>
      </c>
      <c r="D23" s="97"/>
      <c r="E23" s="374"/>
    </row>
    <row r="24" spans="2:10" x14ac:dyDescent="0.25">
      <c r="B24" s="373" t="s">
        <v>38</v>
      </c>
      <c r="C24" s="310" t="s">
        <v>54</v>
      </c>
      <c r="D24" s="310" t="s">
        <v>55</v>
      </c>
      <c r="E24" s="311" t="s">
        <v>60</v>
      </c>
    </row>
    <row r="25" spans="2:10" x14ac:dyDescent="0.25">
      <c r="B25" s="74" t="s">
        <v>8</v>
      </c>
      <c r="C25" s="271">
        <f>'1. Paraméterek - Eredmények'!C56</f>
        <v>1600</v>
      </c>
      <c r="D25" s="271">
        <f>'1. Paraméterek - Eredmények'!D56</f>
        <v>700</v>
      </c>
      <c r="E25" s="272">
        <f>'1. Paraméterek - Eredmények'!E56</f>
        <v>800</v>
      </c>
    </row>
    <row r="26" spans="2:10" ht="15.75" thickBot="1" x14ac:dyDescent="0.3">
      <c r="B26" s="121" t="s">
        <v>279</v>
      </c>
      <c r="C26" s="350"/>
      <c r="D26" s="350"/>
      <c r="E26" s="386"/>
    </row>
    <row r="27" spans="2:10" ht="30.75" thickBot="1" x14ac:dyDescent="0.3">
      <c r="B27" s="89" t="s">
        <v>309</v>
      </c>
      <c r="C27" s="415">
        <f>MIN(H69:I69)</f>
        <v>768117361.90608728</v>
      </c>
      <c r="D27" s="415">
        <f>MAX(H69:I69)</f>
        <v>1200433157.2112591</v>
      </c>
      <c r="E27" s="681">
        <f>AVERAGE(C27:D27)</f>
        <v>984275259.55867314</v>
      </c>
    </row>
    <row r="28" spans="2:10" x14ac:dyDescent="0.25">
      <c r="B28" s="337"/>
      <c r="C28" s="177"/>
      <c r="D28" s="177"/>
      <c r="E28" s="177"/>
    </row>
    <row r="29" spans="2:10" x14ac:dyDescent="0.25">
      <c r="B29" s="76" t="s">
        <v>227</v>
      </c>
      <c r="C29" s="77" t="s">
        <v>1</v>
      </c>
      <c r="D29" s="77" t="s">
        <v>99</v>
      </c>
      <c r="E29" s="78" t="s">
        <v>60</v>
      </c>
    </row>
    <row r="30" spans="2:10" x14ac:dyDescent="0.25">
      <c r="B30" s="318" t="s">
        <v>3</v>
      </c>
      <c r="C30" s="319">
        <f>'1. Paraméterek - Eredmények'!C60</f>
        <v>1.44</v>
      </c>
      <c r="D30" s="319">
        <f>'1. Paraméterek - Eredmények'!D60</f>
        <v>1</v>
      </c>
      <c r="E30" s="286">
        <f>'1. Paraméterek - Eredmények'!E60</f>
        <v>1.22</v>
      </c>
      <c r="H30" s="97"/>
      <c r="I30" s="97"/>
      <c r="J30" s="97"/>
    </row>
    <row r="31" spans="2:10" ht="60" x14ac:dyDescent="0.25">
      <c r="B31" s="417" t="str">
        <f>'1. Paraméterek - Eredmények'!B62</f>
        <v>Foglalkoztatási arány az új jogerősen elítélt fogvatartottak körében (Oktatásban vesz részt, vagy gazdasági társaságnál dolgozik)</v>
      </c>
      <c r="C31" s="319">
        <f>'1. Paraméterek - Eredmények'!C62</f>
        <v>0</v>
      </c>
      <c r="D31" s="319">
        <f>'1. Paraméterek - Eredmények'!D62</f>
        <v>1</v>
      </c>
      <c r="E31" s="286">
        <f>'1. Paraméterek - Eredmények'!E62</f>
        <v>0.7</v>
      </c>
      <c r="H31" s="97"/>
      <c r="I31" s="97"/>
      <c r="J31" s="97"/>
    </row>
    <row r="32" spans="2:10" ht="15.75" thickBot="1" x14ac:dyDescent="0.3">
      <c r="B32" s="416" t="s">
        <v>310</v>
      </c>
      <c r="C32" s="319"/>
      <c r="D32" s="319"/>
      <c r="E32" s="286"/>
      <c r="H32" s="97"/>
      <c r="I32" s="97"/>
      <c r="J32" s="97"/>
    </row>
    <row r="33" spans="1:10" ht="45" x14ac:dyDescent="0.25">
      <c r="B33" s="417" t="s">
        <v>272</v>
      </c>
      <c r="C33" s="418">
        <f>H43</f>
        <v>24585.942335844611</v>
      </c>
      <c r="D33" s="418">
        <f>I43</f>
        <v>29503.130803013533</v>
      </c>
      <c r="E33" s="682">
        <f>AVERAGE(C33:D33)</f>
        <v>27044.536569429074</v>
      </c>
      <c r="H33" s="97"/>
      <c r="I33" s="97"/>
      <c r="J33" s="97"/>
    </row>
    <row r="34" spans="1:10" ht="30" x14ac:dyDescent="0.25">
      <c r="B34" s="417" t="s">
        <v>311</v>
      </c>
      <c r="C34" s="418">
        <f t="shared" ref="C34:D34" si="2">H44</f>
        <v>54649.29188764486</v>
      </c>
      <c r="D34" s="418">
        <f t="shared" si="2"/>
        <v>54649.29188764486</v>
      </c>
      <c r="E34" s="683">
        <f t="shared" ref="E34:E36" si="3">AVERAGE(C34:D34)</f>
        <v>54649.29188764486</v>
      </c>
      <c r="H34" s="97"/>
      <c r="I34" s="97"/>
      <c r="J34" s="97"/>
    </row>
    <row r="35" spans="1:10" ht="30" x14ac:dyDescent="0.25">
      <c r="B35" s="417" t="s">
        <v>312</v>
      </c>
      <c r="C35" s="418">
        <f t="shared" ref="C35:D35" si="4">H45</f>
        <v>27082.355420124481</v>
      </c>
      <c r="D35" s="418">
        <f t="shared" si="4"/>
        <v>32498.826504149376</v>
      </c>
      <c r="E35" s="683">
        <f t="shared" si="3"/>
        <v>29790.590962136928</v>
      </c>
      <c r="H35" s="97"/>
      <c r="I35" s="97"/>
      <c r="J35" s="97"/>
    </row>
    <row r="36" spans="1:10" ht="30.75" thickBot="1" x14ac:dyDescent="0.3">
      <c r="B36" s="419" t="s">
        <v>313</v>
      </c>
      <c r="C36" s="420">
        <f>SUM(H46:H57)</f>
        <v>36089.362752121684</v>
      </c>
      <c r="D36" s="420">
        <f>SUM(I46:I57)</f>
        <v>43307.235302546003</v>
      </c>
      <c r="E36" s="684">
        <f t="shared" si="3"/>
        <v>39698.299027333844</v>
      </c>
      <c r="H36" s="97"/>
      <c r="I36" s="97"/>
      <c r="J36" s="97"/>
    </row>
    <row r="37" spans="1:10" x14ac:dyDescent="0.25">
      <c r="B37" s="220"/>
      <c r="C37" s="336"/>
      <c r="D37" s="336"/>
      <c r="E37" s="336"/>
      <c r="H37" s="97"/>
      <c r="I37" s="97"/>
      <c r="J37" s="97"/>
    </row>
    <row r="38" spans="1:10" ht="30" x14ac:dyDescent="0.25">
      <c r="B38" s="76" t="s">
        <v>268</v>
      </c>
      <c r="C38" s="326" t="s">
        <v>10</v>
      </c>
      <c r="D38" s="326" t="s">
        <v>269</v>
      </c>
      <c r="E38" s="327" t="s">
        <v>270</v>
      </c>
      <c r="H38" s="97"/>
      <c r="I38" s="97"/>
      <c r="J38" s="97"/>
    </row>
    <row r="39" spans="1:10" x14ac:dyDescent="0.25">
      <c r="B39" s="476" t="s">
        <v>267</v>
      </c>
      <c r="C39" s="477">
        <v>0.3</v>
      </c>
      <c r="D39" s="477">
        <v>0</v>
      </c>
      <c r="E39" s="478">
        <v>1</v>
      </c>
      <c r="H39" s="97"/>
      <c r="I39" s="97"/>
      <c r="J39" s="97"/>
    </row>
    <row r="40" spans="1:10" x14ac:dyDescent="0.25">
      <c r="B40" s="220"/>
      <c r="C40" s="336"/>
      <c r="D40" s="336"/>
      <c r="E40" s="336"/>
      <c r="H40" s="97"/>
      <c r="I40" s="97"/>
      <c r="J40" s="287"/>
    </row>
    <row r="41" spans="1:10" s="421" customFormat="1" x14ac:dyDescent="0.25">
      <c r="B41" s="422" t="s">
        <v>242</v>
      </c>
      <c r="C41" s="423"/>
      <c r="D41" s="423"/>
      <c r="E41" s="423"/>
      <c r="I41" s="424"/>
      <c r="J41" s="293"/>
    </row>
    <row r="42" spans="1:10" x14ac:dyDescent="0.25">
      <c r="A42" s="124"/>
      <c r="B42" s="91" t="s">
        <v>36</v>
      </c>
      <c r="C42" s="425" t="s">
        <v>34</v>
      </c>
      <c r="D42" s="389" t="s">
        <v>257</v>
      </c>
      <c r="E42" s="915" t="s">
        <v>255</v>
      </c>
      <c r="F42" s="916"/>
      <c r="G42" s="426"/>
      <c r="H42" s="427" t="s">
        <v>274</v>
      </c>
      <c r="I42" s="428" t="s">
        <v>99</v>
      </c>
      <c r="J42" s="293"/>
    </row>
    <row r="43" spans="1:10" ht="105" x14ac:dyDescent="0.25">
      <c r="A43" s="429"/>
      <c r="B43" s="430" t="s">
        <v>25</v>
      </c>
      <c r="C43" s="431">
        <v>688578487</v>
      </c>
      <c r="D43" s="432" t="s">
        <v>261</v>
      </c>
      <c r="E43" s="917" t="s">
        <v>256</v>
      </c>
      <c r="F43" s="918"/>
      <c r="G43" s="433" t="s">
        <v>272</v>
      </c>
      <c r="H43" s="434">
        <f>C43/(C20-C21+C22+C23)</f>
        <v>24585.942335844611</v>
      </c>
      <c r="I43" s="435">
        <f>H43*1.2</f>
        <v>29503.130803013533</v>
      </c>
      <c r="J43" s="436"/>
    </row>
    <row r="44" spans="1:10" ht="60.75" customHeight="1" x14ac:dyDescent="0.25">
      <c r="A44" s="429"/>
      <c r="B44" s="430" t="s">
        <v>28</v>
      </c>
      <c r="C44" s="437">
        <v>278219545</v>
      </c>
      <c r="D44" s="432" t="s">
        <v>275</v>
      </c>
      <c r="E44" s="917" t="s">
        <v>258</v>
      </c>
      <c r="F44" s="918"/>
      <c r="G44" s="433" t="s">
        <v>276</v>
      </c>
      <c r="H44" s="434">
        <f>C44/C21</f>
        <v>54649.29188764486</v>
      </c>
      <c r="I44" s="435">
        <f>H44</f>
        <v>54649.29188764486</v>
      </c>
      <c r="J44" s="436"/>
    </row>
    <row r="45" spans="1:10" ht="60.75" customHeight="1" x14ac:dyDescent="0.25">
      <c r="A45" s="429"/>
      <c r="B45" s="430" t="s">
        <v>20</v>
      </c>
      <c r="C45" s="431">
        <v>208859125</v>
      </c>
      <c r="D45" s="432" t="s">
        <v>5</v>
      </c>
      <c r="E45" s="917" t="s">
        <v>259</v>
      </c>
      <c r="F45" s="918"/>
      <c r="G45" s="433" t="s">
        <v>277</v>
      </c>
      <c r="H45" s="434">
        <f>C45/C22</f>
        <v>27082.355420124481</v>
      </c>
      <c r="I45" s="435">
        <f>H45*1.2</f>
        <v>32498.826504149376</v>
      </c>
      <c r="J45" s="436"/>
    </row>
    <row r="46" spans="1:10" ht="63.75" customHeight="1" x14ac:dyDescent="0.25">
      <c r="A46" s="429"/>
      <c r="B46" s="430" t="s">
        <v>27</v>
      </c>
      <c r="C46" s="438">
        <v>168443696</v>
      </c>
      <c r="D46" s="432" t="s">
        <v>154</v>
      </c>
      <c r="E46" s="917" t="s">
        <v>260</v>
      </c>
      <c r="F46" s="918"/>
      <c r="G46" s="439" t="s">
        <v>278</v>
      </c>
      <c r="H46" s="440">
        <f>C46/$C$20</f>
        <v>9282.6901796539187</v>
      </c>
      <c r="I46" s="441">
        <f>H46*1.2</f>
        <v>11139.228215584702</v>
      </c>
      <c r="J46" s="442"/>
    </row>
    <row r="47" spans="1:10" ht="45" x14ac:dyDescent="0.25">
      <c r="A47" s="429"/>
      <c r="B47" s="430" t="s">
        <v>43</v>
      </c>
      <c r="C47" s="438">
        <v>159109991.5</v>
      </c>
      <c r="D47" s="432" t="s">
        <v>154</v>
      </c>
      <c r="E47" s="335"/>
      <c r="F47" s="374"/>
      <c r="G47" s="439" t="s">
        <v>278</v>
      </c>
      <c r="H47" s="440">
        <f t="shared" ref="H47:H57" si="5">C47/$C$20</f>
        <v>8768.3231290642561</v>
      </c>
      <c r="I47" s="441">
        <f t="shared" ref="I47:I58" si="6">H47*1.2</f>
        <v>10521.987754877107</v>
      </c>
      <c r="J47" s="442"/>
    </row>
    <row r="48" spans="1:10" ht="45" x14ac:dyDescent="0.25">
      <c r="A48" s="429"/>
      <c r="B48" s="430" t="s">
        <v>22</v>
      </c>
      <c r="C48" s="431">
        <v>119851934</v>
      </c>
      <c r="D48" s="432" t="s">
        <v>154</v>
      </c>
      <c r="E48" s="97"/>
      <c r="F48" s="374"/>
      <c r="G48" s="439" t="s">
        <v>278</v>
      </c>
      <c r="H48" s="440">
        <f t="shared" si="5"/>
        <v>6604.8679598809658</v>
      </c>
      <c r="I48" s="441">
        <f t="shared" si="6"/>
        <v>7925.8415518571583</v>
      </c>
      <c r="J48" s="442"/>
    </row>
    <row r="49" spans="1:10" ht="45" x14ac:dyDescent="0.25">
      <c r="A49" s="429"/>
      <c r="B49" s="430" t="s">
        <v>30</v>
      </c>
      <c r="C49" s="438">
        <v>59024644</v>
      </c>
      <c r="D49" s="432" t="s">
        <v>154</v>
      </c>
      <c r="E49" s="919" t="s">
        <v>262</v>
      </c>
      <c r="F49" s="920"/>
      <c r="G49" s="439" t="s">
        <v>278</v>
      </c>
      <c r="H49" s="440">
        <f t="shared" si="5"/>
        <v>3252.7633638267389</v>
      </c>
      <c r="I49" s="441">
        <f t="shared" si="6"/>
        <v>3903.3160365920867</v>
      </c>
      <c r="J49" s="442"/>
    </row>
    <row r="50" spans="1:10" ht="45" x14ac:dyDescent="0.25">
      <c r="A50" s="429"/>
      <c r="B50" s="430" t="s">
        <v>26</v>
      </c>
      <c r="C50" s="438">
        <v>51432873</v>
      </c>
      <c r="D50" s="432" t="s">
        <v>154</v>
      </c>
      <c r="E50" s="919" t="s">
        <v>263</v>
      </c>
      <c r="F50" s="920"/>
      <c r="G50" s="439" t="s">
        <v>278</v>
      </c>
      <c r="H50" s="440">
        <f t="shared" si="5"/>
        <v>2834.3917667805576</v>
      </c>
      <c r="I50" s="441">
        <f t="shared" si="6"/>
        <v>3401.270120136669</v>
      </c>
      <c r="J50" s="442"/>
    </row>
    <row r="51" spans="1:10" ht="45" x14ac:dyDescent="0.25">
      <c r="A51" s="429"/>
      <c r="B51" s="430" t="s">
        <v>29</v>
      </c>
      <c r="C51" s="438">
        <v>33089828</v>
      </c>
      <c r="D51" s="432" t="s">
        <v>154</v>
      </c>
      <c r="E51" s="917" t="s">
        <v>264</v>
      </c>
      <c r="F51" s="918"/>
      <c r="G51" s="439" t="s">
        <v>278</v>
      </c>
      <c r="H51" s="440">
        <f t="shared" si="5"/>
        <v>1823.5328998126308</v>
      </c>
      <c r="I51" s="441">
        <f t="shared" si="6"/>
        <v>2188.2394797751567</v>
      </c>
      <c r="J51" s="442"/>
    </row>
    <row r="52" spans="1:10" s="97" customFormat="1" ht="45" x14ac:dyDescent="0.25">
      <c r="A52" s="429"/>
      <c r="B52" s="430" t="s">
        <v>21</v>
      </c>
      <c r="C52" s="431">
        <v>17789235</v>
      </c>
      <c r="D52" s="432" t="s">
        <v>154</v>
      </c>
      <c r="E52" s="335"/>
      <c r="F52" s="374"/>
      <c r="G52" s="439" t="s">
        <v>278</v>
      </c>
      <c r="H52" s="440">
        <f t="shared" si="5"/>
        <v>980.3391932106249</v>
      </c>
      <c r="I52" s="441">
        <f t="shared" si="6"/>
        <v>1176.4070318527499</v>
      </c>
      <c r="J52" s="443"/>
    </row>
    <row r="53" spans="1:10" s="97" customFormat="1" ht="45" x14ac:dyDescent="0.25">
      <c r="A53" s="429"/>
      <c r="B53" s="430" t="s">
        <v>32</v>
      </c>
      <c r="C53" s="438">
        <v>14471991</v>
      </c>
      <c r="D53" s="432" t="s">
        <v>154</v>
      </c>
      <c r="E53" s="335"/>
      <c r="F53" s="374"/>
      <c r="G53" s="439" t="s">
        <v>278</v>
      </c>
      <c r="H53" s="440">
        <f t="shared" si="5"/>
        <v>797.53064036151216</v>
      </c>
      <c r="I53" s="441">
        <f t="shared" si="6"/>
        <v>957.03676843381459</v>
      </c>
      <c r="J53" s="443"/>
    </row>
    <row r="54" spans="1:10" s="97" customFormat="1" ht="45" x14ac:dyDescent="0.25">
      <c r="A54" s="429"/>
      <c r="B54" s="430" t="s">
        <v>24</v>
      </c>
      <c r="C54" s="431">
        <v>14108872</v>
      </c>
      <c r="D54" s="432" t="s">
        <v>154</v>
      </c>
      <c r="E54" s="335"/>
      <c r="F54" s="374"/>
      <c r="G54" s="439" t="s">
        <v>278</v>
      </c>
      <c r="H54" s="440">
        <f t="shared" si="5"/>
        <v>777.51967375730192</v>
      </c>
      <c r="I54" s="441">
        <f t="shared" si="6"/>
        <v>933.02360850876221</v>
      </c>
      <c r="J54" s="443"/>
    </row>
    <row r="55" spans="1:10" s="97" customFormat="1" ht="45" x14ac:dyDescent="0.25">
      <c r="A55" s="429"/>
      <c r="B55" s="430" t="s">
        <v>33</v>
      </c>
      <c r="C55" s="431">
        <v>11270369</v>
      </c>
      <c r="D55" s="432" t="s">
        <v>154</v>
      </c>
      <c r="E55" s="335"/>
      <c r="F55" s="374"/>
      <c r="G55" s="439" t="s">
        <v>278</v>
      </c>
      <c r="H55" s="440">
        <f t="shared" si="5"/>
        <v>621.093849884272</v>
      </c>
      <c r="I55" s="441">
        <f t="shared" si="6"/>
        <v>745.31261986112634</v>
      </c>
      <c r="J55" s="443"/>
    </row>
    <row r="56" spans="1:10" s="97" customFormat="1" ht="45" x14ac:dyDescent="0.25">
      <c r="A56" s="429"/>
      <c r="B56" s="430" t="s">
        <v>31</v>
      </c>
      <c r="C56" s="438">
        <v>3624020</v>
      </c>
      <c r="D56" s="432" t="s">
        <v>154</v>
      </c>
      <c r="E56" s="335"/>
      <c r="F56" s="374"/>
      <c r="G56" s="439" t="s">
        <v>278</v>
      </c>
      <c r="H56" s="440">
        <f t="shared" si="5"/>
        <v>199.71453763914911</v>
      </c>
      <c r="I56" s="441">
        <f t="shared" si="6"/>
        <v>239.65744516697893</v>
      </c>
      <c r="J56" s="444"/>
    </row>
    <row r="57" spans="1:10" s="97" customFormat="1" ht="45" x14ac:dyDescent="0.25">
      <c r="A57" s="429"/>
      <c r="B57" s="445" t="s">
        <v>23</v>
      </c>
      <c r="C57" s="446">
        <v>2660123</v>
      </c>
      <c r="D57" s="447" t="s">
        <v>154</v>
      </c>
      <c r="E57" s="448"/>
      <c r="F57" s="449"/>
      <c r="G57" s="450" t="s">
        <v>278</v>
      </c>
      <c r="H57" s="451">
        <f t="shared" si="5"/>
        <v>146.595558249752</v>
      </c>
      <c r="I57" s="452">
        <f t="shared" si="6"/>
        <v>175.9146698997024</v>
      </c>
      <c r="J57" s="444"/>
    </row>
    <row r="58" spans="1:10" s="97" customFormat="1" ht="60" x14ac:dyDescent="0.25">
      <c r="A58" s="429"/>
      <c r="B58" s="453"/>
      <c r="C58" s="431"/>
      <c r="D58" s="432"/>
      <c r="E58" s="335"/>
      <c r="G58" s="454" t="s">
        <v>305</v>
      </c>
      <c r="H58" s="455">
        <f>SUM(H46:H57)</f>
        <v>36089.362752121684</v>
      </c>
      <c r="I58" s="456">
        <f t="shared" si="6"/>
        <v>43307.235302546018</v>
      </c>
      <c r="J58" s="457"/>
    </row>
    <row r="59" spans="1:10" s="97" customFormat="1" x14ac:dyDescent="0.25">
      <c r="A59" s="335"/>
      <c r="B59" s="220"/>
      <c r="C59" s="299"/>
      <c r="D59" s="193"/>
      <c r="E59" s="193"/>
      <c r="F59" s="193"/>
      <c r="G59" s="193"/>
      <c r="H59" s="193"/>
      <c r="I59" s="193"/>
      <c r="J59" s="193"/>
    </row>
    <row r="60" spans="1:10" s="97" customFormat="1" x14ac:dyDescent="0.25">
      <c r="B60" s="458" t="s">
        <v>273</v>
      </c>
      <c r="J60" s="396"/>
    </row>
    <row r="61" spans="1:10" s="97" customFormat="1" ht="45" x14ac:dyDescent="0.25">
      <c r="A61" s="458"/>
      <c r="B61" s="459" t="s">
        <v>304</v>
      </c>
      <c r="C61" s="460" t="s">
        <v>290</v>
      </c>
      <c r="D61" s="461" t="s">
        <v>291</v>
      </c>
      <c r="E61" s="462" t="s">
        <v>293</v>
      </c>
      <c r="F61" s="462" t="s">
        <v>294</v>
      </c>
      <c r="G61" s="462" t="s">
        <v>292</v>
      </c>
      <c r="H61" s="462" t="s">
        <v>302</v>
      </c>
      <c r="I61" s="463" t="s">
        <v>303</v>
      </c>
      <c r="J61" s="396"/>
    </row>
    <row r="62" spans="1:10" s="97" customFormat="1" ht="30" x14ac:dyDescent="0.25">
      <c r="A62" s="335"/>
      <c r="B62" s="414" t="s">
        <v>284</v>
      </c>
      <c r="C62" s="464">
        <v>291458233</v>
      </c>
      <c r="D62" s="96">
        <v>190000000</v>
      </c>
      <c r="E62" s="398">
        <v>1.0338262432112304</v>
      </c>
      <c r="F62" s="398">
        <v>1.0791505670263368</v>
      </c>
      <c r="G62" s="337" t="s">
        <v>295</v>
      </c>
      <c r="H62" s="190">
        <f>C62*E62</f>
        <v>301317170.07537347</v>
      </c>
      <c r="I62" s="191">
        <f>D62*F62</f>
        <v>205038607.73500401</v>
      </c>
      <c r="J62" s="398"/>
    </row>
    <row r="63" spans="1:10" s="97" customFormat="1" ht="30" x14ac:dyDescent="0.25">
      <c r="A63" s="335"/>
      <c r="B63" s="414" t="s">
        <v>283</v>
      </c>
      <c r="C63" s="464">
        <v>17100000</v>
      </c>
      <c r="D63" s="96">
        <v>5000000</v>
      </c>
      <c r="E63" s="398">
        <v>0.56190994403986394</v>
      </c>
      <c r="F63" s="398">
        <v>0.64885674831393048</v>
      </c>
      <c r="G63" s="335" t="s">
        <v>296</v>
      </c>
      <c r="H63" s="190">
        <f t="shared" ref="H63:H67" si="7">C63*E63</f>
        <v>9608660.0430816729</v>
      </c>
      <c r="I63" s="191">
        <f t="shared" ref="I63:I67" si="8">D63*F63</f>
        <v>3244283.7415696522</v>
      </c>
      <c r="J63" s="234"/>
    </row>
    <row r="64" spans="1:10" s="97" customFormat="1" ht="75" x14ac:dyDescent="0.25">
      <c r="A64" s="335"/>
      <c r="B64" s="391" t="s">
        <v>285</v>
      </c>
      <c r="C64" s="464">
        <v>105251595</v>
      </c>
      <c r="D64" s="96">
        <v>225000000</v>
      </c>
      <c r="E64" s="398">
        <v>0.45138169963665531</v>
      </c>
      <c r="F64" s="398">
        <v>0.49876430899077945</v>
      </c>
      <c r="G64" s="335" t="s">
        <v>297</v>
      </c>
      <c r="H64" s="190">
        <f t="shared" si="7"/>
        <v>47508643.840568893</v>
      </c>
      <c r="I64" s="191">
        <f t="shared" si="8"/>
        <v>112221969.52292538</v>
      </c>
      <c r="J64" s="234"/>
    </row>
    <row r="65" spans="1:10" s="97" customFormat="1" ht="30" x14ac:dyDescent="0.25">
      <c r="A65" s="335"/>
      <c r="B65" s="391" t="s">
        <v>286</v>
      </c>
      <c r="C65" s="343">
        <f>132734414+408057029</f>
        <v>540791443</v>
      </c>
      <c r="D65" s="96">
        <v>72000000</v>
      </c>
      <c r="E65" s="398">
        <v>1.0591133034413214</v>
      </c>
      <c r="F65" s="398">
        <v>1.0963905832725893</v>
      </c>
      <c r="G65" s="335" t="s">
        <v>298</v>
      </c>
      <c r="H65" s="190">
        <f t="shared" si="7"/>
        <v>572759411.66852903</v>
      </c>
      <c r="I65" s="191">
        <f t="shared" si="8"/>
        <v>78940121.995626435</v>
      </c>
    </row>
    <row r="66" spans="1:10" s="97" customFormat="1" ht="30" x14ac:dyDescent="0.25">
      <c r="A66" s="335"/>
      <c r="B66" s="391" t="s">
        <v>287</v>
      </c>
      <c r="C66" s="96">
        <v>80000000</v>
      </c>
      <c r="D66" s="96">
        <v>80000000</v>
      </c>
      <c r="E66" s="398">
        <v>0.99284818801169894</v>
      </c>
      <c r="F66" s="398">
        <v>1.0069454239469564</v>
      </c>
      <c r="G66" s="335" t="s">
        <v>299</v>
      </c>
      <c r="H66" s="190">
        <f t="shared" si="7"/>
        <v>79427855.040935919</v>
      </c>
      <c r="I66" s="191">
        <f t="shared" si="8"/>
        <v>80555633.915756509</v>
      </c>
    </row>
    <row r="67" spans="1:10" x14ac:dyDescent="0.25">
      <c r="B67" s="391" t="s">
        <v>288</v>
      </c>
      <c r="C67" s="96">
        <v>86000000</v>
      </c>
      <c r="D67" s="96">
        <v>86000000</v>
      </c>
      <c r="E67" s="398">
        <v>1.0153766987008712</v>
      </c>
      <c r="F67" s="398">
        <v>1.0403449781771223</v>
      </c>
      <c r="G67" s="335" t="s">
        <v>300</v>
      </c>
      <c r="H67" s="190">
        <f t="shared" si="7"/>
        <v>87322396.088274926</v>
      </c>
      <c r="I67" s="191">
        <f t="shared" si="8"/>
        <v>89469668.123232529</v>
      </c>
    </row>
    <row r="68" spans="1:10" ht="30" x14ac:dyDescent="0.25">
      <c r="B68" s="391" t="s">
        <v>289</v>
      </c>
      <c r="C68" s="343">
        <v>70512800</v>
      </c>
      <c r="D68" s="96">
        <v>142000000</v>
      </c>
      <c r="E68" s="398">
        <v>1.4534810765491528</v>
      </c>
      <c r="F68" s="398">
        <v>1.3989230765631886</v>
      </c>
      <c r="G68" s="465" t="s">
        <v>301</v>
      </c>
      <c r="H68" s="190">
        <f t="shared" ref="H68" si="9">C68*E68</f>
        <v>102489020.4544951</v>
      </c>
      <c r="I68" s="191">
        <f t="shared" ref="I68" si="10">D68*F68</f>
        <v>198647076.87197277</v>
      </c>
    </row>
    <row r="69" spans="1:10" x14ac:dyDescent="0.25">
      <c r="B69" s="466" t="s">
        <v>7</v>
      </c>
      <c r="C69" s="467">
        <f>SUM(C62:C68)</f>
        <v>1191114071</v>
      </c>
      <c r="D69" s="467">
        <f>SUM(D62:D68)</f>
        <v>800000000</v>
      </c>
      <c r="E69" s="102"/>
      <c r="F69" s="102"/>
      <c r="G69" s="102"/>
      <c r="H69" s="468">
        <f>SUM(H62:H68)</f>
        <v>1200433157.2112591</v>
      </c>
      <c r="I69" s="469">
        <f>SUM(I62:I68)</f>
        <v>768117361.90608728</v>
      </c>
    </row>
    <row r="70" spans="1:10" ht="30" x14ac:dyDescent="0.25">
      <c r="B70" s="329"/>
      <c r="G70" s="339" t="s">
        <v>408</v>
      </c>
      <c r="H70" s="617">
        <f>H69/800</f>
        <v>1500541.446514074</v>
      </c>
      <c r="I70" s="617">
        <f>I69/700</f>
        <v>1097310.5170086962</v>
      </c>
    </row>
    <row r="71" spans="1:10" ht="30" x14ac:dyDescent="0.25">
      <c r="B71" s="329"/>
      <c r="G71" s="339" t="s">
        <v>409</v>
      </c>
      <c r="H71" s="617">
        <f>H70/'A. Építés'!E33</f>
        <v>51.287411655612203</v>
      </c>
      <c r="I71" s="617">
        <f>I70/'A. Építés'!E34</f>
        <v>29.577102884331435</v>
      </c>
    </row>
    <row r="72" spans="1:10" ht="15.75" thickBot="1" x14ac:dyDescent="0.3">
      <c r="B72" s="329"/>
    </row>
    <row r="73" spans="1:10" x14ac:dyDescent="0.25">
      <c r="B73" s="853" t="s">
        <v>6</v>
      </c>
      <c r="C73" s="855" t="s">
        <v>10</v>
      </c>
      <c r="D73" s="857" t="s">
        <v>1</v>
      </c>
      <c r="E73" s="858"/>
      <c r="F73" s="859"/>
      <c r="G73" s="857" t="s">
        <v>99</v>
      </c>
      <c r="H73" s="858"/>
      <c r="I73" s="859"/>
      <c r="J73" s="861" t="s">
        <v>112</v>
      </c>
    </row>
    <row r="74" spans="1:10" ht="15.75" thickBot="1" x14ac:dyDescent="0.3">
      <c r="B74" s="854"/>
      <c r="C74" s="856"/>
      <c r="D74" s="288" t="s">
        <v>86</v>
      </c>
      <c r="E74" s="289" t="s">
        <v>87</v>
      </c>
      <c r="F74" s="290" t="s">
        <v>112</v>
      </c>
      <c r="G74" s="288" t="s">
        <v>86</v>
      </c>
      <c r="H74" s="289" t="s">
        <v>87</v>
      </c>
      <c r="I74" s="290" t="s">
        <v>112</v>
      </c>
      <c r="J74" s="862"/>
    </row>
    <row r="75" spans="1:10" x14ac:dyDescent="0.25">
      <c r="B75" s="202" t="s">
        <v>163</v>
      </c>
      <c r="C75" s="231"/>
      <c r="D75" s="262">
        <f>'A. Építés'!D49</f>
        <v>0</v>
      </c>
      <c r="E75" s="263">
        <f>'A. Építés'!E49</f>
        <v>1</v>
      </c>
      <c r="F75" s="264">
        <f>'A. Építés'!F49</f>
        <v>1</v>
      </c>
      <c r="G75" s="262">
        <f>'A. Építés'!G49</f>
        <v>0</v>
      </c>
      <c r="H75" s="263">
        <f>'A. Építés'!H49</f>
        <v>2</v>
      </c>
      <c r="I75" s="264">
        <f>'A. Építés'!I49</f>
        <v>1</v>
      </c>
      <c r="J75" s="265">
        <f>'A. Építés'!J49</f>
        <v>1</v>
      </c>
    </row>
    <row r="76" spans="1:10" ht="30" x14ac:dyDescent="0.25">
      <c r="B76" s="202" t="s">
        <v>171</v>
      </c>
      <c r="C76" s="231"/>
      <c r="D76" s="266">
        <f>'A. Építés'!D48</f>
        <v>2304</v>
      </c>
      <c r="E76" s="267">
        <f>'A. Építés'!E48</f>
        <v>1008</v>
      </c>
      <c r="F76" s="268">
        <f>'A. Építés'!F48</f>
        <v>1152</v>
      </c>
      <c r="G76" s="266">
        <f>'A. Építés'!G48</f>
        <v>1600</v>
      </c>
      <c r="H76" s="267">
        <f>'A. Építés'!H48</f>
        <v>700</v>
      </c>
      <c r="I76" s="268">
        <f>'A. Építés'!I48</f>
        <v>800</v>
      </c>
      <c r="J76" s="269">
        <f>'A. Építés'!J48</f>
        <v>976</v>
      </c>
    </row>
    <row r="77" spans="1:10" x14ac:dyDescent="0.25">
      <c r="B77" s="202" t="str">
        <f>'A. Építés'!B50</f>
        <v>Fogvatartottak száma az új börtönökben</v>
      </c>
      <c r="C77" s="231"/>
      <c r="D77" s="266">
        <f>'A. Építés'!D50</f>
        <v>0</v>
      </c>
      <c r="E77" s="267">
        <f>'A. Építés'!E50</f>
        <v>1008</v>
      </c>
      <c r="F77" s="268">
        <f>'A. Építés'!F50</f>
        <v>1152</v>
      </c>
      <c r="G77" s="266">
        <f>'A. Építés'!G50</f>
        <v>0</v>
      </c>
      <c r="H77" s="267">
        <f>'A. Építés'!H50</f>
        <v>1400</v>
      </c>
      <c r="I77" s="268">
        <f>'A. Építés'!I50</f>
        <v>800</v>
      </c>
      <c r="J77" s="269">
        <f>'A. Építés'!J50</f>
        <v>976</v>
      </c>
    </row>
    <row r="78" spans="1:10" ht="30" x14ac:dyDescent="0.25">
      <c r="B78" s="202" t="s">
        <v>306</v>
      </c>
      <c r="C78" s="231"/>
      <c r="D78" s="266">
        <f>$C$16-D75*D76</f>
        <v>1500</v>
      </c>
      <c r="E78" s="267">
        <f t="shared" ref="E78:J78" si="11">$C$16-E75*E76</f>
        <v>492</v>
      </c>
      <c r="F78" s="268">
        <f t="shared" si="11"/>
        <v>348</v>
      </c>
      <c r="G78" s="266">
        <f t="shared" si="11"/>
        <v>1500</v>
      </c>
      <c r="H78" s="267">
        <f t="shared" si="11"/>
        <v>100</v>
      </c>
      <c r="I78" s="268">
        <f t="shared" si="11"/>
        <v>700</v>
      </c>
      <c r="J78" s="269">
        <f t="shared" si="11"/>
        <v>524</v>
      </c>
    </row>
    <row r="79" spans="1:10" x14ac:dyDescent="0.25">
      <c r="B79" s="105" t="s">
        <v>314</v>
      </c>
      <c r="C79" s="242"/>
      <c r="D79" s="270">
        <f>C27</f>
        <v>768117361.90608728</v>
      </c>
      <c r="E79" s="271">
        <f t="shared" ref="E79:F79" si="12">D27</f>
        <v>1200433157.2112591</v>
      </c>
      <c r="F79" s="272">
        <f t="shared" si="12"/>
        <v>984275259.55867314</v>
      </c>
      <c r="G79" s="270">
        <f>C27</f>
        <v>768117361.90608728</v>
      </c>
      <c r="H79" s="271">
        <f t="shared" ref="H79:I79" si="13">D27</f>
        <v>1200433157.2112591</v>
      </c>
      <c r="I79" s="273">
        <f t="shared" si="13"/>
        <v>984275259.55867314</v>
      </c>
      <c r="J79" s="274">
        <f>E27</f>
        <v>984275259.55867314</v>
      </c>
    </row>
    <row r="80" spans="1:10" ht="60" x14ac:dyDescent="0.25">
      <c r="B80" s="105" t="str">
        <f>B31</f>
        <v>Foglalkoztatási arány az új jogerősen elítélt fogvatartottak körében (Oktatásban vesz részt, vagy gazdasági társaságnál dolgozik)</v>
      </c>
      <c r="C80" s="242"/>
      <c r="D80" s="275">
        <f>$C$31</f>
        <v>0</v>
      </c>
      <c r="E80" s="276">
        <f t="shared" ref="E80:F80" si="14">$C$31</f>
        <v>0</v>
      </c>
      <c r="F80" s="277">
        <f t="shared" si="14"/>
        <v>0</v>
      </c>
      <c r="G80" s="275">
        <f>$D$31</f>
        <v>1</v>
      </c>
      <c r="H80" s="276">
        <f t="shared" ref="H80:I80" si="15">$D$31</f>
        <v>1</v>
      </c>
      <c r="I80" s="277">
        <f t="shared" si="15"/>
        <v>1</v>
      </c>
      <c r="J80" s="278">
        <f>E31</f>
        <v>0.7</v>
      </c>
    </row>
    <row r="81" spans="1:10" ht="45" x14ac:dyDescent="0.25">
      <c r="B81" s="470" t="s">
        <v>317</v>
      </c>
      <c r="C81" s="410">
        <f t="shared" ref="C81" si="16">$C33</f>
        <v>24585.942335844611</v>
      </c>
      <c r="D81" s="279">
        <f>$C33</f>
        <v>24585.942335844611</v>
      </c>
      <c r="E81" s="279">
        <f t="shared" ref="E81:F81" si="17">$C33</f>
        <v>24585.942335844611</v>
      </c>
      <c r="F81" s="573">
        <f t="shared" si="17"/>
        <v>24585.942335844611</v>
      </c>
      <c r="G81" s="280">
        <f>$D33</f>
        <v>29503.130803013533</v>
      </c>
      <c r="H81" s="279">
        <f t="shared" ref="H81:I81" si="18">$D33</f>
        <v>29503.130803013533</v>
      </c>
      <c r="I81" s="573">
        <f t="shared" si="18"/>
        <v>29503.130803013533</v>
      </c>
      <c r="J81" s="281">
        <f>$E33</f>
        <v>27044.536569429074</v>
      </c>
    </row>
    <row r="82" spans="1:10" ht="30" x14ac:dyDescent="0.25">
      <c r="B82" s="470" t="s">
        <v>311</v>
      </c>
      <c r="C82" s="410">
        <f t="shared" ref="C82" si="19">$C34</f>
        <v>54649.29188764486</v>
      </c>
      <c r="D82" s="279">
        <f t="shared" ref="D82:F82" si="20">$C34</f>
        <v>54649.29188764486</v>
      </c>
      <c r="E82" s="279">
        <f t="shared" si="20"/>
        <v>54649.29188764486</v>
      </c>
      <c r="F82" s="573">
        <f t="shared" si="20"/>
        <v>54649.29188764486</v>
      </c>
      <c r="G82" s="280">
        <f t="shared" ref="G82:I82" si="21">$D34</f>
        <v>54649.29188764486</v>
      </c>
      <c r="H82" s="279">
        <f t="shared" si="21"/>
        <v>54649.29188764486</v>
      </c>
      <c r="I82" s="573">
        <f t="shared" si="21"/>
        <v>54649.29188764486</v>
      </c>
      <c r="J82" s="281">
        <f>$E34</f>
        <v>54649.29188764486</v>
      </c>
    </row>
    <row r="83" spans="1:10" ht="30" x14ac:dyDescent="0.25">
      <c r="B83" s="470" t="s">
        <v>312</v>
      </c>
      <c r="C83" s="410">
        <f t="shared" ref="C83" si="22">$C35</f>
        <v>27082.355420124481</v>
      </c>
      <c r="D83" s="279">
        <f t="shared" ref="D83:F83" si="23">$C35</f>
        <v>27082.355420124481</v>
      </c>
      <c r="E83" s="279">
        <f t="shared" si="23"/>
        <v>27082.355420124481</v>
      </c>
      <c r="F83" s="573">
        <f t="shared" si="23"/>
        <v>27082.355420124481</v>
      </c>
      <c r="G83" s="280">
        <f t="shared" ref="G83:I83" si="24">$D35</f>
        <v>32498.826504149376</v>
      </c>
      <c r="H83" s="279">
        <f t="shared" si="24"/>
        <v>32498.826504149376</v>
      </c>
      <c r="I83" s="573">
        <f t="shared" si="24"/>
        <v>32498.826504149376</v>
      </c>
      <c r="J83" s="281">
        <f>$E35</f>
        <v>29790.590962136928</v>
      </c>
    </row>
    <row r="84" spans="1:10" ht="30" x14ac:dyDescent="0.25">
      <c r="B84" s="470" t="s">
        <v>313</v>
      </c>
      <c r="C84" s="410">
        <f t="shared" ref="C84" si="25">$C36</f>
        <v>36089.362752121684</v>
      </c>
      <c r="D84" s="279">
        <f t="shared" ref="D84:F84" si="26">$C36</f>
        <v>36089.362752121684</v>
      </c>
      <c r="E84" s="279">
        <f t="shared" si="26"/>
        <v>36089.362752121684</v>
      </c>
      <c r="F84" s="573">
        <f t="shared" si="26"/>
        <v>36089.362752121684</v>
      </c>
      <c r="G84" s="280">
        <f t="shared" ref="G84:I84" si="27">$D36</f>
        <v>43307.235302546003</v>
      </c>
      <c r="H84" s="279">
        <f t="shared" si="27"/>
        <v>43307.235302546003</v>
      </c>
      <c r="I84" s="573">
        <f t="shared" si="27"/>
        <v>43307.235302546003</v>
      </c>
      <c r="J84" s="281">
        <f>$E36</f>
        <v>39698.299027333844</v>
      </c>
    </row>
    <row r="85" spans="1:10" s="338" customFormat="1" x14ac:dyDescent="0.25">
      <c r="A85" s="471"/>
      <c r="B85" s="472" t="s">
        <v>315</v>
      </c>
      <c r="C85" s="473"/>
      <c r="D85" s="247">
        <f>IF(D$75=0,0,D$75*D$79/10)</f>
        <v>0</v>
      </c>
      <c r="E85" s="247">
        <f t="shared" ref="E85:J85" si="28">IF(E$75=0,0,E$75*E$79/10)</f>
        <v>120043315.72112592</v>
      </c>
      <c r="F85" s="248">
        <f t="shared" si="28"/>
        <v>98427525.95586732</v>
      </c>
      <c r="G85" s="247">
        <f t="shared" si="28"/>
        <v>0</v>
      </c>
      <c r="H85" s="247">
        <f t="shared" si="28"/>
        <v>240086631.44225183</v>
      </c>
      <c r="I85" s="248">
        <f t="shared" si="28"/>
        <v>98427525.95586732</v>
      </c>
      <c r="J85" s="249">
        <f t="shared" si="28"/>
        <v>98427525.95586732</v>
      </c>
    </row>
    <row r="86" spans="1:10" s="338" customFormat="1" ht="31.5" customHeight="1" x14ac:dyDescent="0.25">
      <c r="A86" s="471"/>
      <c r="B86" s="479" t="s">
        <v>316</v>
      </c>
      <c r="C86" s="480"/>
      <c r="D86" s="481">
        <f>(D$78+TRUNC(0.3453*D$78)+TRUNC(D$80*(1-$C$39)*D$78))*D$81</f>
        <v>49589845.691398583</v>
      </c>
      <c r="E86" s="481">
        <f t="shared" ref="E86:J86" si="29">(E$78+TRUNC(0.3453*E$78)+TRUNC(E$80*(1-$C$39)*E$78))*E$81</f>
        <v>16251307.883993289</v>
      </c>
      <c r="F86" s="482">
        <f t="shared" si="29"/>
        <v>11506221.013175279</v>
      </c>
      <c r="G86" s="481">
        <f t="shared" si="29"/>
        <v>90486102.172842503</v>
      </c>
      <c r="H86" s="481">
        <f t="shared" si="29"/>
        <v>6018638.6838147612</v>
      </c>
      <c r="I86" s="482">
        <f t="shared" si="29"/>
        <v>42218980.179112367</v>
      </c>
      <c r="J86" s="483">
        <f t="shared" si="29"/>
        <v>25962755.10665191</v>
      </c>
    </row>
    <row r="87" spans="1:10" x14ac:dyDescent="0.25">
      <c r="B87" s="479" t="s">
        <v>426</v>
      </c>
      <c r="C87" s="480"/>
      <c r="D87" s="481">
        <f t="shared" ref="D87:J87" si="30">$C$16*$C$39*D$82</f>
        <v>24592181.349440187</v>
      </c>
      <c r="E87" s="481">
        <f t="shared" si="30"/>
        <v>24592181.349440187</v>
      </c>
      <c r="F87" s="482">
        <f t="shared" si="30"/>
        <v>24592181.349440187</v>
      </c>
      <c r="G87" s="481">
        <f t="shared" si="30"/>
        <v>24592181.349440187</v>
      </c>
      <c r="H87" s="481">
        <f t="shared" si="30"/>
        <v>24592181.349440187</v>
      </c>
      <c r="I87" s="482">
        <f t="shared" si="30"/>
        <v>24592181.349440187</v>
      </c>
      <c r="J87" s="483">
        <f t="shared" si="30"/>
        <v>24592181.349440187</v>
      </c>
    </row>
    <row r="88" spans="1:10" ht="30" x14ac:dyDescent="0.25">
      <c r="B88" s="472" t="s">
        <v>318</v>
      </c>
      <c r="C88" s="473"/>
      <c r="D88" s="247">
        <f>D$83*D$78*0.3453</f>
        <v>14027305.989853475</v>
      </c>
      <c r="E88" s="247">
        <f t="shared" ref="E88:J88" si="31">E$83*E$78*0.3453</f>
        <v>4600956.36467194</v>
      </c>
      <c r="F88" s="248">
        <f t="shared" si="31"/>
        <v>3254334.9896460064</v>
      </c>
      <c r="G88" s="247">
        <f t="shared" si="31"/>
        <v>16832767.187824171</v>
      </c>
      <c r="H88" s="247">
        <f t="shared" si="31"/>
        <v>1122184.4791882779</v>
      </c>
      <c r="I88" s="248">
        <f t="shared" si="31"/>
        <v>7855291.3543179464</v>
      </c>
      <c r="J88" s="249">
        <f t="shared" si="31"/>
        <v>5390226.1150343614</v>
      </c>
    </row>
    <row r="89" spans="1:10" ht="30" x14ac:dyDescent="0.25">
      <c r="B89" s="472" t="s">
        <v>319</v>
      </c>
      <c r="C89" s="473"/>
      <c r="D89" s="247">
        <f>D$78*D$84</f>
        <v>54134044.128182523</v>
      </c>
      <c r="E89" s="247">
        <f t="shared" ref="E89:J89" si="32">E$78*E$84</f>
        <v>17755966.474043868</v>
      </c>
      <c r="F89" s="248">
        <f t="shared" si="32"/>
        <v>12559098.237738347</v>
      </c>
      <c r="G89" s="247">
        <f t="shared" si="32"/>
        <v>64960852.953819007</v>
      </c>
      <c r="H89" s="247">
        <f t="shared" si="32"/>
        <v>4330723.5302546006</v>
      </c>
      <c r="I89" s="248">
        <f t="shared" si="32"/>
        <v>30315064.711782202</v>
      </c>
      <c r="J89" s="249">
        <f t="shared" si="32"/>
        <v>20801908.690322936</v>
      </c>
    </row>
    <row r="90" spans="1:10" x14ac:dyDescent="0.25">
      <c r="B90" s="393" t="s">
        <v>307</v>
      </c>
      <c r="C90" s="696">
        <v>1830534733.5</v>
      </c>
      <c r="D90" s="697">
        <f>SUM(D85:D89)</f>
        <v>142343377.15887478</v>
      </c>
      <c r="E90" s="697">
        <f t="shared" ref="E90:J90" si="33">SUM(E85:E89)</f>
        <v>183243727.79327521</v>
      </c>
      <c r="F90" s="698">
        <f t="shared" si="33"/>
        <v>150339361.54586715</v>
      </c>
      <c r="G90" s="697">
        <f t="shared" si="33"/>
        <v>196871903.66392589</v>
      </c>
      <c r="H90" s="697">
        <f t="shared" si="33"/>
        <v>276150359.48494965</v>
      </c>
      <c r="I90" s="698">
        <f t="shared" si="33"/>
        <v>203409043.55052</v>
      </c>
      <c r="J90" s="699">
        <f t="shared" si="33"/>
        <v>175174597.21731672</v>
      </c>
    </row>
    <row r="91" spans="1:10" x14ac:dyDescent="0.25">
      <c r="B91" s="393" t="s">
        <v>308</v>
      </c>
      <c r="C91" s="696">
        <v>100878.14027884933</v>
      </c>
      <c r="D91" s="697">
        <f>D90/$C$16</f>
        <v>94895.584772583185</v>
      </c>
      <c r="E91" s="697">
        <f t="shared" ref="E91:J91" si="34">E90/$C$16</f>
        <v>122162.4851955168</v>
      </c>
      <c r="F91" s="698">
        <f t="shared" si="34"/>
        <v>100226.24103057809</v>
      </c>
      <c r="G91" s="697">
        <f t="shared" si="34"/>
        <v>131247.93577595058</v>
      </c>
      <c r="H91" s="697">
        <f t="shared" si="34"/>
        <v>184100.23965663309</v>
      </c>
      <c r="I91" s="698">
        <f t="shared" si="34"/>
        <v>135606.02903368001</v>
      </c>
      <c r="J91" s="699">
        <f t="shared" si="34"/>
        <v>116783.06481154448</v>
      </c>
    </row>
    <row r="92" spans="1:10" ht="15.75" thickBot="1" x14ac:dyDescent="0.3">
      <c r="B92" s="686" t="s">
        <v>254</v>
      </c>
      <c r="C92" s="700">
        <v>276.3784665173954</v>
      </c>
      <c r="D92" s="701">
        <f>D91/365</f>
        <v>259.98790348652926</v>
      </c>
      <c r="E92" s="701">
        <f t="shared" ref="E92:J92" si="35">E91/365</f>
        <v>334.69174026168986</v>
      </c>
      <c r="F92" s="702">
        <f t="shared" si="35"/>
        <v>274.59244117966603</v>
      </c>
      <c r="G92" s="701">
        <f t="shared" si="35"/>
        <v>359.58338568753584</v>
      </c>
      <c r="H92" s="701">
        <f t="shared" si="35"/>
        <v>504.38421823735092</v>
      </c>
      <c r="I92" s="702">
        <f t="shared" si="35"/>
        <v>371.52336721556168</v>
      </c>
      <c r="J92" s="703">
        <f t="shared" si="35"/>
        <v>319.95360222340952</v>
      </c>
    </row>
    <row r="94" spans="1:10" ht="15.75" thickBot="1" x14ac:dyDescent="0.3">
      <c r="B94" s="328" t="s">
        <v>270</v>
      </c>
    </row>
    <row r="95" spans="1:10" x14ac:dyDescent="0.25">
      <c r="B95" s="474" t="s">
        <v>315</v>
      </c>
      <c r="C95" s="475"/>
      <c r="D95" s="259">
        <f>IF(D$75=0,0,D$75*D$79/10)</f>
        <v>0</v>
      </c>
      <c r="E95" s="259">
        <f t="shared" ref="E95:J95" si="36">IF(E$75=0,0,E$75*E$79/10)</f>
        <v>120043315.72112592</v>
      </c>
      <c r="F95" s="260">
        <f t="shared" si="36"/>
        <v>98427525.95586732</v>
      </c>
      <c r="G95" s="259">
        <f t="shared" si="36"/>
        <v>0</v>
      </c>
      <c r="H95" s="259">
        <f t="shared" si="36"/>
        <v>240086631.44225183</v>
      </c>
      <c r="I95" s="260">
        <f t="shared" si="36"/>
        <v>98427525.95586732</v>
      </c>
      <c r="J95" s="261">
        <f t="shared" si="36"/>
        <v>98427525.95586732</v>
      </c>
    </row>
    <row r="96" spans="1:10" ht="45" x14ac:dyDescent="0.25">
      <c r="B96" s="479" t="s">
        <v>316</v>
      </c>
      <c r="C96" s="480"/>
      <c r="D96" s="481">
        <f>(D$78+TRUNC(0.3453*D$78)+TRUNC(D$80*(1-$E$39)*D$78))*D$81</f>
        <v>49589845.691398583</v>
      </c>
      <c r="E96" s="481">
        <f t="shared" ref="E96:J96" si="37">(E$78+TRUNC(0.3453*E$78)+TRUNC(E$80*(1-$E$39)*E$78))*E$81</f>
        <v>16251307.883993289</v>
      </c>
      <c r="F96" s="482">
        <f t="shared" si="37"/>
        <v>11506221.013175279</v>
      </c>
      <c r="G96" s="481">
        <f t="shared" si="37"/>
        <v>59507814.829678297</v>
      </c>
      <c r="H96" s="481">
        <f t="shared" si="37"/>
        <v>3953419.5276038134</v>
      </c>
      <c r="I96" s="482">
        <f t="shared" si="37"/>
        <v>27762446.085635737</v>
      </c>
      <c r="J96" s="483">
        <f t="shared" si="37"/>
        <v>19039353.744878069</v>
      </c>
    </row>
    <row r="97" spans="2:10" x14ac:dyDescent="0.25">
      <c r="B97" s="479" t="s">
        <v>426</v>
      </c>
      <c r="C97" s="480"/>
      <c r="D97" s="481">
        <f>$C$16*$E$39*D$82</f>
        <v>81973937.831467286</v>
      </c>
      <c r="E97" s="481">
        <f t="shared" ref="E97:J97" si="38">$C$16*$E$39*E$82</f>
        <v>81973937.831467286</v>
      </c>
      <c r="F97" s="482">
        <f t="shared" si="38"/>
        <v>81973937.831467286</v>
      </c>
      <c r="G97" s="481">
        <f t="shared" si="38"/>
        <v>81973937.831467286</v>
      </c>
      <c r="H97" s="481">
        <f t="shared" si="38"/>
        <v>81973937.831467286</v>
      </c>
      <c r="I97" s="482">
        <f t="shared" si="38"/>
        <v>81973937.831467286</v>
      </c>
      <c r="J97" s="483">
        <f t="shared" si="38"/>
        <v>81973937.831467286</v>
      </c>
    </row>
    <row r="98" spans="2:10" ht="30" x14ac:dyDescent="0.25">
      <c r="B98" s="472" t="s">
        <v>318</v>
      </c>
      <c r="C98" s="473"/>
      <c r="D98" s="247">
        <f>D$83*D$78*0.3453</f>
        <v>14027305.989853475</v>
      </c>
      <c r="E98" s="247">
        <f t="shared" ref="E98:J98" si="39">E$83*E$78*0.3453</f>
        <v>4600956.36467194</v>
      </c>
      <c r="F98" s="248">
        <f t="shared" si="39"/>
        <v>3254334.9896460064</v>
      </c>
      <c r="G98" s="247">
        <f t="shared" si="39"/>
        <v>16832767.187824171</v>
      </c>
      <c r="H98" s="247">
        <f t="shared" si="39"/>
        <v>1122184.4791882779</v>
      </c>
      <c r="I98" s="248">
        <f t="shared" si="39"/>
        <v>7855291.3543179464</v>
      </c>
      <c r="J98" s="249">
        <f t="shared" si="39"/>
        <v>5390226.1150343614</v>
      </c>
    </row>
    <row r="99" spans="2:10" ht="30" x14ac:dyDescent="0.25">
      <c r="B99" s="472" t="s">
        <v>319</v>
      </c>
      <c r="C99" s="473"/>
      <c r="D99" s="247">
        <f>D$78*D$84</f>
        <v>54134044.128182523</v>
      </c>
      <c r="E99" s="247">
        <f t="shared" ref="E99:J99" si="40">E$78*E$84</f>
        <v>17755966.474043868</v>
      </c>
      <c r="F99" s="248">
        <f t="shared" si="40"/>
        <v>12559098.237738347</v>
      </c>
      <c r="G99" s="247">
        <f t="shared" si="40"/>
        <v>64960852.953819007</v>
      </c>
      <c r="H99" s="247">
        <f t="shared" si="40"/>
        <v>4330723.5302546006</v>
      </c>
      <c r="I99" s="248">
        <f t="shared" si="40"/>
        <v>30315064.711782202</v>
      </c>
      <c r="J99" s="249">
        <f t="shared" si="40"/>
        <v>20801908.690322936</v>
      </c>
    </row>
    <row r="100" spans="2:10" x14ac:dyDescent="0.25">
      <c r="B100" s="393" t="s">
        <v>307</v>
      </c>
      <c r="C100" s="473"/>
      <c r="D100" s="697">
        <f>SUM(D95:D99)</f>
        <v>199725133.64090186</v>
      </c>
      <c r="E100" s="697">
        <f t="shared" ref="E100" si="41">SUM(E95:E99)</f>
        <v>240625484.27530232</v>
      </c>
      <c r="F100" s="698">
        <f t="shared" ref="F100" si="42">SUM(F95:F99)</f>
        <v>207721118.02789423</v>
      </c>
      <c r="G100" s="697">
        <f t="shared" ref="G100" si="43">SUM(G95:G99)</f>
        <v>223275372.80278873</v>
      </c>
      <c r="H100" s="697">
        <f t="shared" ref="H100" si="44">SUM(H95:H99)</f>
        <v>331466896.8107658</v>
      </c>
      <c r="I100" s="698">
        <f t="shared" ref="I100" si="45">SUM(I95:I99)</f>
        <v>246334265.93907046</v>
      </c>
      <c r="J100" s="699">
        <f t="shared" ref="J100" si="46">SUM(J95:J99)</f>
        <v>225632952.33756998</v>
      </c>
    </row>
    <row r="101" spans="2:10" x14ac:dyDescent="0.25">
      <c r="B101" s="393" t="s">
        <v>308</v>
      </c>
      <c r="C101" s="473"/>
      <c r="D101" s="697">
        <f>D100/$C$16</f>
        <v>133150.08909393457</v>
      </c>
      <c r="E101" s="697">
        <f t="shared" ref="E101" si="47">E100/$C$16</f>
        <v>160416.98951686823</v>
      </c>
      <c r="F101" s="698">
        <f t="shared" ref="F101" si="48">F100/$C$16</f>
        <v>138480.74535192948</v>
      </c>
      <c r="G101" s="697">
        <f t="shared" ref="G101" si="49">G100/$C$16</f>
        <v>148850.24853519248</v>
      </c>
      <c r="H101" s="697">
        <f t="shared" ref="H101" si="50">H100/$C$16</f>
        <v>220977.9312071772</v>
      </c>
      <c r="I101" s="698">
        <f t="shared" ref="I101" si="51">I100/$C$16</f>
        <v>164222.84395938032</v>
      </c>
      <c r="J101" s="699">
        <f t="shared" ref="J101" si="52">J100/$C$16</f>
        <v>150421.96822504664</v>
      </c>
    </row>
    <row r="102" spans="2:10" ht="15.75" thickBot="1" x14ac:dyDescent="0.3">
      <c r="B102" s="686" t="s">
        <v>254</v>
      </c>
      <c r="C102" s="704"/>
      <c r="D102" s="701">
        <f>D101/365</f>
        <v>364.79476464091664</v>
      </c>
      <c r="E102" s="701">
        <f t="shared" ref="E102" si="53">E101/365</f>
        <v>439.49860141607735</v>
      </c>
      <c r="F102" s="702">
        <f t="shared" ref="F102" si="54">F101/365</f>
        <v>379.39930233405335</v>
      </c>
      <c r="G102" s="701">
        <f t="shared" ref="G102" si="55">G101/365</f>
        <v>407.80890009641774</v>
      </c>
      <c r="H102" s="701">
        <f t="shared" ref="H102" si="56">H101/365</f>
        <v>605.41898960870469</v>
      </c>
      <c r="I102" s="702">
        <f t="shared" ref="I102" si="57">I101/365</f>
        <v>449.92559988871318</v>
      </c>
      <c r="J102" s="703">
        <f t="shared" ref="J102" si="58">J101/365</f>
        <v>412.11498143848394</v>
      </c>
    </row>
    <row r="104" spans="2:10" ht="15.75" thickBot="1" x14ac:dyDescent="0.3">
      <c r="B104" s="328" t="s">
        <v>269</v>
      </c>
    </row>
    <row r="105" spans="2:10" x14ac:dyDescent="0.25">
      <c r="B105" s="474" t="s">
        <v>315</v>
      </c>
      <c r="C105" s="475"/>
      <c r="D105" s="259">
        <f>IF(D$75=0,0,D$75*D$79/10)</f>
        <v>0</v>
      </c>
      <c r="E105" s="250">
        <f t="shared" ref="E105:J105" si="59">IF(E$75=0,0,E$75*E$79/10)</f>
        <v>120043315.72112592</v>
      </c>
      <c r="F105" s="251">
        <f t="shared" si="59"/>
        <v>98427525.95586732</v>
      </c>
      <c r="G105" s="250">
        <f t="shared" si="59"/>
        <v>0</v>
      </c>
      <c r="H105" s="250">
        <f t="shared" si="59"/>
        <v>240086631.44225183</v>
      </c>
      <c r="I105" s="251">
        <f t="shared" si="59"/>
        <v>98427525.95586732</v>
      </c>
      <c r="J105" s="252">
        <f t="shared" si="59"/>
        <v>98427525.95586732</v>
      </c>
    </row>
    <row r="106" spans="2:10" ht="45" x14ac:dyDescent="0.25">
      <c r="B106" s="479" t="s">
        <v>316</v>
      </c>
      <c r="C106" s="480"/>
      <c r="D106" s="481">
        <f>(D$78+TRUNC(0.3453*D$78)+TRUNC(D$80*(1-$D$39)*D$78))*D$81</f>
        <v>49589845.691398583</v>
      </c>
      <c r="E106" s="481">
        <f t="shared" ref="E106:J106" si="60">(E$78+TRUNC(0.3453*E$78)+TRUNC(E$80*(1-$D$39)*E$78))*E$81</f>
        <v>16251307.883993289</v>
      </c>
      <c r="F106" s="482">
        <f t="shared" si="60"/>
        <v>11506221.013175279</v>
      </c>
      <c r="G106" s="481">
        <f t="shared" si="60"/>
        <v>103762511.0341986</v>
      </c>
      <c r="H106" s="481">
        <f t="shared" si="60"/>
        <v>6903732.6079051672</v>
      </c>
      <c r="I106" s="482">
        <f t="shared" si="60"/>
        <v>48414637.647745207</v>
      </c>
      <c r="J106" s="483">
        <f t="shared" si="60"/>
        <v>28937654.129289109</v>
      </c>
    </row>
    <row r="107" spans="2:10" x14ac:dyDescent="0.25">
      <c r="B107" s="479" t="s">
        <v>426</v>
      </c>
      <c r="C107" s="480"/>
      <c r="D107" s="481">
        <f t="shared" ref="D107:J107" si="61">$C$16*$D$39*D$82</f>
        <v>0</v>
      </c>
      <c r="E107" s="481">
        <f t="shared" si="61"/>
        <v>0</v>
      </c>
      <c r="F107" s="482">
        <f t="shared" si="61"/>
        <v>0</v>
      </c>
      <c r="G107" s="481">
        <f t="shared" si="61"/>
        <v>0</v>
      </c>
      <c r="H107" s="481">
        <f t="shared" si="61"/>
        <v>0</v>
      </c>
      <c r="I107" s="482">
        <f t="shared" si="61"/>
        <v>0</v>
      </c>
      <c r="J107" s="483">
        <f t="shared" si="61"/>
        <v>0</v>
      </c>
    </row>
    <row r="108" spans="2:10" ht="30" x14ac:dyDescent="0.25">
      <c r="B108" s="472" t="s">
        <v>318</v>
      </c>
      <c r="C108" s="473"/>
      <c r="D108" s="247">
        <f>D$83*D$78*0.3453</f>
        <v>14027305.989853475</v>
      </c>
      <c r="E108" s="247">
        <f t="shared" ref="E108:J108" si="62">E$83*E$78*0.3453</f>
        <v>4600956.36467194</v>
      </c>
      <c r="F108" s="248">
        <f t="shared" si="62"/>
        <v>3254334.9896460064</v>
      </c>
      <c r="G108" s="247">
        <f t="shared" si="62"/>
        <v>16832767.187824171</v>
      </c>
      <c r="H108" s="247">
        <f t="shared" si="62"/>
        <v>1122184.4791882779</v>
      </c>
      <c r="I108" s="248">
        <f t="shared" si="62"/>
        <v>7855291.3543179464</v>
      </c>
      <c r="J108" s="249">
        <f t="shared" si="62"/>
        <v>5390226.1150343614</v>
      </c>
    </row>
    <row r="109" spans="2:10" ht="30" x14ac:dyDescent="0.25">
      <c r="B109" s="472" t="s">
        <v>319</v>
      </c>
      <c r="C109" s="473"/>
      <c r="D109" s="247">
        <f>D$78*D$84</f>
        <v>54134044.128182523</v>
      </c>
      <c r="E109" s="247">
        <f t="shared" ref="E109:J109" si="63">E$78*E$84</f>
        <v>17755966.474043868</v>
      </c>
      <c r="F109" s="248">
        <f t="shared" si="63"/>
        <v>12559098.237738347</v>
      </c>
      <c r="G109" s="247">
        <f t="shared" si="63"/>
        <v>64960852.953819007</v>
      </c>
      <c r="H109" s="247">
        <f t="shared" si="63"/>
        <v>4330723.5302546006</v>
      </c>
      <c r="I109" s="248">
        <f t="shared" si="63"/>
        <v>30315064.711782202</v>
      </c>
      <c r="J109" s="249">
        <f t="shared" si="63"/>
        <v>20801908.690322936</v>
      </c>
    </row>
    <row r="110" spans="2:10" x14ac:dyDescent="0.25">
      <c r="B110" s="393" t="s">
        <v>307</v>
      </c>
      <c r="C110" s="473"/>
      <c r="D110" s="697">
        <f>SUM(D105:D109)</f>
        <v>117751195.80943459</v>
      </c>
      <c r="E110" s="697">
        <f t="shared" ref="E110" si="64">SUM(E105:E109)</f>
        <v>158651546.44383502</v>
      </c>
      <c r="F110" s="698">
        <f t="shared" ref="F110" si="65">SUM(F105:F109)</f>
        <v>125747180.19642694</v>
      </c>
      <c r="G110" s="697">
        <f t="shared" ref="G110" si="66">SUM(G105:G109)</f>
        <v>185556131.17584178</v>
      </c>
      <c r="H110" s="697">
        <f t="shared" ref="H110" si="67">SUM(H105:H109)</f>
        <v>252443272.05959988</v>
      </c>
      <c r="I110" s="698">
        <f t="shared" ref="I110" si="68">SUM(I105:I109)</f>
        <v>185012519.66971266</v>
      </c>
      <c r="J110" s="699">
        <f t="shared" ref="J110" si="69">SUM(J105:J109)</f>
        <v>153557314.89051372</v>
      </c>
    </row>
    <row r="111" spans="2:10" x14ac:dyDescent="0.25">
      <c r="B111" s="393" t="s">
        <v>308</v>
      </c>
      <c r="C111" s="473"/>
      <c r="D111" s="697">
        <f>D110/$C$16</f>
        <v>78500.797206289732</v>
      </c>
      <c r="E111" s="697">
        <f t="shared" ref="E111" si="70">E110/$C$16</f>
        <v>105767.69762922334</v>
      </c>
      <c r="F111" s="698">
        <f t="shared" ref="F111" si="71">F110/$C$16</f>
        <v>83831.453464284627</v>
      </c>
      <c r="G111" s="697">
        <f t="shared" ref="G111" si="72">G110/$C$16</f>
        <v>123704.08745056119</v>
      </c>
      <c r="H111" s="697">
        <f t="shared" ref="H111" si="73">H110/$C$16</f>
        <v>168295.51470639993</v>
      </c>
      <c r="I111" s="698">
        <f t="shared" ref="I111" si="74">I110/$C$16</f>
        <v>123341.67977980844</v>
      </c>
      <c r="J111" s="699">
        <f t="shared" ref="J111" si="75">J110/$C$16</f>
        <v>102371.54326034249</v>
      </c>
    </row>
    <row r="112" spans="2:10" ht="15.75" thickBot="1" x14ac:dyDescent="0.3">
      <c r="B112" s="686" t="s">
        <v>254</v>
      </c>
      <c r="C112" s="704"/>
      <c r="D112" s="701">
        <f>D111/365</f>
        <v>215.07067727750612</v>
      </c>
      <c r="E112" s="701">
        <f t="shared" ref="E112" si="76">E111/365</f>
        <v>289.77451405266669</v>
      </c>
      <c r="F112" s="702">
        <f t="shared" ref="F112" si="77">F111/365</f>
        <v>229.6752149706428</v>
      </c>
      <c r="G112" s="701">
        <f t="shared" ref="G112" si="78">G111/365</f>
        <v>338.91530808372926</v>
      </c>
      <c r="H112" s="701">
        <f t="shared" ref="H112" si="79">H111/365</f>
        <v>461.0836019353423</v>
      </c>
      <c r="I112" s="702">
        <f t="shared" ref="I112" si="80">I111/365</f>
        <v>337.92241035563956</v>
      </c>
      <c r="J112" s="703">
        <f t="shared" ref="J112" si="81">J111/365</f>
        <v>280.4699815351849</v>
      </c>
    </row>
  </sheetData>
  <sheetProtection algorithmName="SHA-512" hashValue="Z7k0z6XbLzZ4uf7+opU9n3yEMVTmFCK0kYnG3l0p46qgirn7SW9o4KEjezeyYFbMYVOJgO43cV8QoENttDLmSw==" saltValue="nKb2IilsAiJB9m14Ehxwhw==" spinCount="100000" sheet="1" objects="1" scenarios="1"/>
  <mergeCells count="23">
    <mergeCell ref="J73:J74"/>
    <mergeCell ref="E50:F50"/>
    <mergeCell ref="E51:F51"/>
    <mergeCell ref="B2:B3"/>
    <mergeCell ref="C2:C3"/>
    <mergeCell ref="D2:F2"/>
    <mergeCell ref="G2:I2"/>
    <mergeCell ref="J2:J3"/>
    <mergeCell ref="B9:B10"/>
    <mergeCell ref="C9:C10"/>
    <mergeCell ref="D9:F9"/>
    <mergeCell ref="G9:I9"/>
    <mergeCell ref="J9:J10"/>
    <mergeCell ref="E49:F49"/>
    <mergeCell ref="B73:B74"/>
    <mergeCell ref="C73:C74"/>
    <mergeCell ref="E42:F42"/>
    <mergeCell ref="E46:F46"/>
    <mergeCell ref="D73:F73"/>
    <mergeCell ref="G73:I73"/>
    <mergeCell ref="E43:F43"/>
    <mergeCell ref="E44:F44"/>
    <mergeCell ref="E45:F45"/>
  </mergeCells>
  <dataValidations count="5">
    <dataValidation type="whole" errorStyle="warning" allowBlank="1" showInputMessage="1" showErrorMessage="1" errorTitle="Kiugró érték" error="Nem az alsó és felső határ között értéket adott meg. " promptTitle="Első felszerelés költsége" prompt="Átlagos érték: 984 275 260" sqref="E27">
      <formula1>C27</formula1>
      <formula2>D27</formula2>
    </dataValidation>
    <dataValidation allowBlank="1" showInputMessage="1" showErrorMessage="1" prompt="Átlagérték: 22 885" sqref="E33"/>
    <dataValidation allowBlank="1" showInputMessage="1" showErrorMessage="1" prompt="Átlagérték: 54 649" sqref="E34"/>
    <dataValidation allowBlank="1" showInputMessage="1" showErrorMessage="1" prompt="Átlagérték: 29 791_x000a_" sqref="E35"/>
    <dataValidation allowBlank="1" showInputMessage="1" showErrorMessage="1" prompt="Átlagérték: 39 698" sqref="E36"/>
  </dataValidations>
  <pageMargins left="0.7" right="0.7" top="0.75" bottom="0.75" header="0.3" footer="0.3"/>
  <ignoredErrors>
    <ignoredError sqref="I44" 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workbookViewId="0">
      <selection activeCell="G17" sqref="G17"/>
    </sheetView>
  </sheetViews>
  <sheetFormatPr defaultRowHeight="15" x14ac:dyDescent="0.25"/>
  <cols>
    <col min="1" max="1" width="10.28515625" style="7" bestFit="1" customWidth="1"/>
    <col min="2" max="2" width="37.5703125" style="7" customWidth="1"/>
    <col min="3" max="3" width="15.7109375" style="7" customWidth="1"/>
    <col min="4" max="10" width="14" style="7" customWidth="1"/>
    <col min="11" max="16384" width="9.140625" style="7"/>
  </cols>
  <sheetData>
    <row r="1" spans="2:10" ht="15.75" thickBot="1" x14ac:dyDescent="0.3">
      <c r="B1" s="328" t="s">
        <v>265</v>
      </c>
      <c r="C1" s="329"/>
      <c r="D1" s="329"/>
      <c r="E1" s="329"/>
      <c r="F1" s="329"/>
      <c r="G1" s="329"/>
      <c r="H1" s="329"/>
      <c r="I1" s="329"/>
      <c r="J1" s="329"/>
    </row>
    <row r="2" spans="2:10" x14ac:dyDescent="0.25">
      <c r="B2" s="853" t="s">
        <v>387</v>
      </c>
      <c r="C2" s="855" t="s">
        <v>10</v>
      </c>
      <c r="D2" s="857" t="s">
        <v>1</v>
      </c>
      <c r="E2" s="858"/>
      <c r="F2" s="859"/>
      <c r="G2" s="857" t="s">
        <v>99</v>
      </c>
      <c r="H2" s="858"/>
      <c r="I2" s="859"/>
      <c r="J2" s="861" t="s">
        <v>112</v>
      </c>
    </row>
    <row r="3" spans="2:10" ht="15.75" thickBot="1" x14ac:dyDescent="0.3">
      <c r="B3" s="854"/>
      <c r="C3" s="856"/>
      <c r="D3" s="288" t="s">
        <v>86</v>
      </c>
      <c r="E3" s="289" t="s">
        <v>87</v>
      </c>
      <c r="F3" s="290" t="s">
        <v>112</v>
      </c>
      <c r="G3" s="288" t="s">
        <v>86</v>
      </c>
      <c r="H3" s="289" t="s">
        <v>87</v>
      </c>
      <c r="I3" s="290" t="s">
        <v>112</v>
      </c>
      <c r="J3" s="862"/>
    </row>
    <row r="4" spans="2:10" x14ac:dyDescent="0.25">
      <c r="B4" s="84" t="s">
        <v>40</v>
      </c>
      <c r="C4" s="711">
        <f>C23</f>
        <v>2612801603.3299999</v>
      </c>
      <c r="D4" s="253">
        <f>D64</f>
        <v>215981616.05835998</v>
      </c>
      <c r="E4" s="253">
        <f t="shared" ref="E4:J4" si="0">E64</f>
        <v>328500000</v>
      </c>
      <c r="F4" s="254">
        <f t="shared" si="0"/>
        <v>219000000</v>
      </c>
      <c r="G4" s="253">
        <f t="shared" si="0"/>
        <v>215981616.05835998</v>
      </c>
      <c r="H4" s="253">
        <f t="shared" si="0"/>
        <v>328500000</v>
      </c>
      <c r="I4" s="254">
        <f t="shared" si="0"/>
        <v>219000000</v>
      </c>
      <c r="J4" s="255">
        <f t="shared" si="0"/>
        <v>219000000</v>
      </c>
    </row>
    <row r="5" spans="2:10" x14ac:dyDescent="0.25">
      <c r="B5" s="84" t="s">
        <v>388</v>
      </c>
      <c r="C5" s="711">
        <f t="shared" ref="C5:C6" si="1">C24</f>
        <v>143987.74403890665</v>
      </c>
      <c r="D5" s="253">
        <f t="shared" ref="D5:J5" si="2">D65</f>
        <v>143987.74403890665</v>
      </c>
      <c r="E5" s="253">
        <f t="shared" si="2"/>
        <v>219000</v>
      </c>
      <c r="F5" s="254">
        <f t="shared" si="2"/>
        <v>146000</v>
      </c>
      <c r="G5" s="253">
        <f t="shared" si="2"/>
        <v>143987.74403890665</v>
      </c>
      <c r="H5" s="253">
        <f t="shared" si="2"/>
        <v>219000</v>
      </c>
      <c r="I5" s="254">
        <f t="shared" si="2"/>
        <v>146000</v>
      </c>
      <c r="J5" s="255">
        <f t="shared" si="2"/>
        <v>146000</v>
      </c>
    </row>
    <row r="6" spans="2:10" ht="15.75" thickBot="1" x14ac:dyDescent="0.3">
      <c r="B6" s="85" t="s">
        <v>41</v>
      </c>
      <c r="C6" s="712">
        <f t="shared" si="1"/>
        <v>394.48696996960723</v>
      </c>
      <c r="D6" s="256">
        <f t="shared" ref="D6:J6" si="3">D66</f>
        <v>394.48696996960723</v>
      </c>
      <c r="E6" s="256">
        <f t="shared" si="3"/>
        <v>600</v>
      </c>
      <c r="F6" s="257">
        <f t="shared" si="3"/>
        <v>400</v>
      </c>
      <c r="G6" s="256">
        <f t="shared" si="3"/>
        <v>394.48696996960723</v>
      </c>
      <c r="H6" s="256">
        <f t="shared" si="3"/>
        <v>600</v>
      </c>
      <c r="I6" s="257">
        <f t="shared" si="3"/>
        <v>400</v>
      </c>
      <c r="J6" s="258">
        <f t="shared" si="3"/>
        <v>400</v>
      </c>
    </row>
    <row r="8" spans="2:10" ht="15.75" thickBot="1" x14ac:dyDescent="0.3">
      <c r="B8" s="328" t="s">
        <v>118</v>
      </c>
      <c r="C8" s="329"/>
      <c r="D8" s="329"/>
      <c r="E8" s="329"/>
      <c r="F8" s="329"/>
      <c r="G8" s="329"/>
      <c r="H8" s="329"/>
      <c r="I8" s="329"/>
      <c r="J8" s="329"/>
    </row>
    <row r="9" spans="2:10" x14ac:dyDescent="0.25">
      <c r="B9" s="853" t="s">
        <v>387</v>
      </c>
      <c r="C9" s="855" t="s">
        <v>10</v>
      </c>
      <c r="D9" s="857" t="s">
        <v>1</v>
      </c>
      <c r="E9" s="858"/>
      <c r="F9" s="859"/>
      <c r="G9" s="857" t="s">
        <v>99</v>
      </c>
      <c r="H9" s="858"/>
      <c r="I9" s="859"/>
      <c r="J9" s="861" t="s">
        <v>112</v>
      </c>
    </row>
    <row r="10" spans="2:10" ht="15.75" thickBot="1" x14ac:dyDescent="0.3">
      <c r="B10" s="854"/>
      <c r="C10" s="856"/>
      <c r="D10" s="288" t="s">
        <v>86</v>
      </c>
      <c r="E10" s="289" t="s">
        <v>87</v>
      </c>
      <c r="F10" s="290" t="s">
        <v>112</v>
      </c>
      <c r="G10" s="288" t="s">
        <v>86</v>
      </c>
      <c r="H10" s="289" t="s">
        <v>87</v>
      </c>
      <c r="I10" s="290" t="s">
        <v>112</v>
      </c>
      <c r="J10" s="862"/>
    </row>
    <row r="11" spans="2:10" x14ac:dyDescent="0.25">
      <c r="B11" s="109" t="s">
        <v>40</v>
      </c>
      <c r="C11" s="795"/>
      <c r="D11" s="796"/>
      <c r="E11" s="96"/>
      <c r="F11" s="147"/>
      <c r="G11" s="796"/>
      <c r="H11" s="96"/>
      <c r="I11" s="147"/>
      <c r="J11" s="797"/>
    </row>
    <row r="12" spans="2:10" x14ac:dyDescent="0.25">
      <c r="B12" s="109" t="s">
        <v>388</v>
      </c>
      <c r="C12" s="795"/>
      <c r="D12" s="796"/>
      <c r="E12" s="96"/>
      <c r="F12" s="147"/>
      <c r="G12" s="796"/>
      <c r="H12" s="96"/>
      <c r="I12" s="147"/>
      <c r="J12" s="797"/>
    </row>
    <row r="13" spans="2:10" ht="15.75" thickBot="1" x14ac:dyDescent="0.3">
      <c r="B13" s="243" t="s">
        <v>41</v>
      </c>
      <c r="C13" s="798"/>
      <c r="D13" s="799"/>
      <c r="E13" s="800"/>
      <c r="F13" s="801"/>
      <c r="G13" s="799"/>
      <c r="H13" s="800"/>
      <c r="I13" s="801"/>
      <c r="J13" s="802"/>
    </row>
    <row r="15" spans="2:10" x14ac:dyDescent="0.25">
      <c r="B15" s="76" t="s">
        <v>56</v>
      </c>
      <c r="C15" s="88"/>
      <c r="F15" s="13"/>
    </row>
    <row r="16" spans="2:10" x14ac:dyDescent="0.25">
      <c r="B16" s="87" t="s">
        <v>11</v>
      </c>
      <c r="C16" s="375">
        <f>'1. Paraméterek - Eredmények'!C33</f>
        <v>1500</v>
      </c>
    </row>
    <row r="18" spans="1:5" ht="30" x14ac:dyDescent="0.25">
      <c r="B18" s="565" t="s">
        <v>228</v>
      </c>
      <c r="C18" s="77" t="s">
        <v>54</v>
      </c>
      <c r="D18" s="77" t="s">
        <v>55</v>
      </c>
      <c r="E18" s="566" t="s">
        <v>60</v>
      </c>
    </row>
    <row r="19" spans="1:5" ht="15.75" thickBot="1" x14ac:dyDescent="0.3">
      <c r="B19" s="567" t="s">
        <v>38</v>
      </c>
      <c r="C19" s="13"/>
      <c r="D19" s="13"/>
      <c r="E19" s="134"/>
    </row>
    <row r="20" spans="1:5" ht="15.75" thickBot="1" x14ac:dyDescent="0.3">
      <c r="B20" s="135" t="s">
        <v>389</v>
      </c>
      <c r="C20" s="568">
        <f>C25</f>
        <v>394.48696996960723</v>
      </c>
      <c r="D20" s="568">
        <v>600</v>
      </c>
      <c r="E20" s="803">
        <v>400</v>
      </c>
    </row>
    <row r="22" spans="1:5" ht="15.75" thickBot="1" x14ac:dyDescent="0.3">
      <c r="B22" s="33" t="s">
        <v>61</v>
      </c>
    </row>
    <row r="23" spans="1:5" x14ac:dyDescent="0.25">
      <c r="B23" s="6" t="s">
        <v>40</v>
      </c>
      <c r="C23" s="561">
        <f>SUM(C28:C34)</f>
        <v>2612801603.3299999</v>
      </c>
    </row>
    <row r="24" spans="1:5" x14ac:dyDescent="0.25">
      <c r="B24" s="14" t="s">
        <v>39</v>
      </c>
      <c r="C24" s="562">
        <f>C23/'1. Paraméterek - Eredmények'!$C$38</f>
        <v>143987.74403890665</v>
      </c>
      <c r="D24" s="73"/>
    </row>
    <row r="25" spans="1:5" ht="15.75" thickBot="1" x14ac:dyDescent="0.3">
      <c r="B25" s="8" t="s">
        <v>41</v>
      </c>
      <c r="C25" s="564">
        <f>C24/365</f>
        <v>394.48696996960723</v>
      </c>
      <c r="D25" s="73"/>
    </row>
    <row r="26" spans="1:5" x14ac:dyDescent="0.25">
      <c r="B26" s="13"/>
      <c r="C26" s="15"/>
    </row>
    <row r="27" spans="1:5" x14ac:dyDescent="0.25">
      <c r="A27" s="18" t="s">
        <v>35</v>
      </c>
      <c r="B27" s="18" t="s">
        <v>36</v>
      </c>
      <c r="C27" s="804" t="s">
        <v>34</v>
      </c>
      <c r="D27" s="20"/>
      <c r="E27" s="20"/>
    </row>
    <row r="28" spans="1:5" x14ac:dyDescent="0.25">
      <c r="A28" s="7" t="s">
        <v>42</v>
      </c>
      <c r="B28" s="11" t="s">
        <v>13</v>
      </c>
      <c r="C28" s="563">
        <v>433512031.32999998</v>
      </c>
      <c r="D28" s="19"/>
      <c r="E28" s="19"/>
    </row>
    <row r="29" spans="1:5" ht="30" x14ac:dyDescent="0.25">
      <c r="A29" s="7" t="s">
        <v>42</v>
      </c>
      <c r="B29" s="11" t="s">
        <v>19</v>
      </c>
      <c r="C29" s="563">
        <v>37821107</v>
      </c>
      <c r="D29" s="19"/>
      <c r="E29" s="19"/>
    </row>
    <row r="30" spans="1:5" ht="30" x14ac:dyDescent="0.25">
      <c r="A30" s="7" t="s">
        <v>42</v>
      </c>
      <c r="B30" s="11" t="s">
        <v>14</v>
      </c>
      <c r="C30" s="563">
        <v>915129624</v>
      </c>
      <c r="D30" s="19"/>
      <c r="E30" s="19"/>
    </row>
    <row r="31" spans="1:5" ht="30" x14ac:dyDescent="0.25">
      <c r="A31" s="7" t="s">
        <v>42</v>
      </c>
      <c r="B31" s="11" t="s">
        <v>15</v>
      </c>
      <c r="C31" s="563">
        <v>753752538</v>
      </c>
      <c r="D31" s="19"/>
      <c r="E31" s="19"/>
    </row>
    <row r="32" spans="1:5" ht="30" x14ac:dyDescent="0.25">
      <c r="A32" s="7" t="s">
        <v>42</v>
      </c>
      <c r="B32" s="11" t="s">
        <v>16</v>
      </c>
      <c r="C32" s="563">
        <v>96159016</v>
      </c>
      <c r="D32" s="19"/>
      <c r="E32" s="19"/>
    </row>
    <row r="33" spans="1:6" ht="30" x14ac:dyDescent="0.25">
      <c r="A33" s="7" t="s">
        <v>42</v>
      </c>
      <c r="B33" s="11" t="s">
        <v>17</v>
      </c>
      <c r="C33" s="563">
        <v>160788735</v>
      </c>
      <c r="D33" s="19"/>
      <c r="E33" s="19"/>
    </row>
    <row r="34" spans="1:6" ht="30" x14ac:dyDescent="0.25">
      <c r="A34" s="7" t="s">
        <v>42</v>
      </c>
      <c r="B34" s="11" t="s">
        <v>18</v>
      </c>
      <c r="C34" s="563">
        <v>215638552</v>
      </c>
      <c r="D34" s="19"/>
      <c r="E34" s="19"/>
    </row>
    <row r="36" spans="1:6" ht="15.75" thickBot="1" x14ac:dyDescent="0.3">
      <c r="B36" s="33" t="s">
        <v>63</v>
      </c>
    </row>
    <row r="37" spans="1:6" ht="30" x14ac:dyDescent="0.25">
      <c r="B37" s="9" t="s">
        <v>85</v>
      </c>
      <c r="C37" s="561">
        <f>C41*365*'1. Paraméterek - Eredmények'!C38+F55</f>
        <v>2767130700</v>
      </c>
    </row>
    <row r="38" spans="1:6" ht="30" x14ac:dyDescent="0.25">
      <c r="B38" s="16" t="s">
        <v>385</v>
      </c>
      <c r="C38" s="562">
        <f>C37/'1. Paraméterek - Eredmények'!C38</f>
        <v>152492.59891987214</v>
      </c>
    </row>
    <row r="39" spans="1:6" ht="15.75" thickBot="1" x14ac:dyDescent="0.3">
      <c r="B39" s="560" t="s">
        <v>62</v>
      </c>
      <c r="C39" s="564">
        <f>C38/365</f>
        <v>417.78794224622504</v>
      </c>
    </row>
    <row r="41" spans="1:6" x14ac:dyDescent="0.25">
      <c r="B41" s="33" t="s">
        <v>386</v>
      </c>
      <c r="C41" s="7">
        <v>400</v>
      </c>
    </row>
    <row r="42" spans="1:6" ht="15.75" thickBot="1" x14ac:dyDescent="0.3">
      <c r="B42" s="33" t="s">
        <v>64</v>
      </c>
    </row>
    <row r="43" spans="1:6" ht="30" x14ac:dyDescent="0.25">
      <c r="B43" s="35" t="s">
        <v>66</v>
      </c>
      <c r="C43" s="36" t="s">
        <v>67</v>
      </c>
      <c r="D43" s="37" t="s">
        <v>77</v>
      </c>
      <c r="E43" s="37" t="s">
        <v>82</v>
      </c>
      <c r="F43" s="38" t="s">
        <v>34</v>
      </c>
    </row>
    <row r="44" spans="1:6" x14ac:dyDescent="0.25">
      <c r="B44" s="16" t="s">
        <v>65</v>
      </c>
      <c r="C44" s="39">
        <v>90</v>
      </c>
      <c r="D44" s="39">
        <v>189</v>
      </c>
      <c r="E44" s="39">
        <f t="shared" ref="E44:E54" si="4">C44*D44</f>
        <v>17010</v>
      </c>
      <c r="F44" s="40">
        <f t="shared" ref="F44:F54" si="5">365*E44</f>
        <v>6208650</v>
      </c>
    </row>
    <row r="45" spans="1:6" x14ac:dyDescent="0.25">
      <c r="B45" s="16" t="s">
        <v>68</v>
      </c>
      <c r="C45" s="39">
        <v>61</v>
      </c>
      <c r="D45" s="39">
        <v>0</v>
      </c>
      <c r="E45" s="39">
        <f t="shared" si="4"/>
        <v>0</v>
      </c>
      <c r="F45" s="40">
        <f t="shared" si="5"/>
        <v>0</v>
      </c>
    </row>
    <row r="46" spans="1:6" x14ac:dyDescent="0.25">
      <c r="B46" s="16" t="s">
        <v>69</v>
      </c>
      <c r="C46" s="39">
        <v>120</v>
      </c>
      <c r="D46" s="39">
        <v>0</v>
      </c>
      <c r="E46" s="39">
        <f t="shared" si="4"/>
        <v>0</v>
      </c>
      <c r="F46" s="40">
        <f t="shared" si="5"/>
        <v>0</v>
      </c>
    </row>
    <row r="47" spans="1:6" x14ac:dyDescent="0.25">
      <c r="B47" s="16" t="s">
        <v>70</v>
      </c>
      <c r="C47" s="39">
        <v>76</v>
      </c>
      <c r="D47" s="39">
        <f>C59-D48</f>
        <v>3447</v>
      </c>
      <c r="E47" s="39">
        <f t="shared" si="4"/>
        <v>261972</v>
      </c>
      <c r="F47" s="40">
        <f t="shared" si="5"/>
        <v>95619780</v>
      </c>
    </row>
    <row r="48" spans="1:6" ht="30" x14ac:dyDescent="0.25">
      <c r="B48" s="16" t="s">
        <v>71</v>
      </c>
      <c r="C48" s="39">
        <v>136</v>
      </c>
      <c r="D48" s="39">
        <v>305</v>
      </c>
      <c r="E48" s="39">
        <f t="shared" si="4"/>
        <v>41480</v>
      </c>
      <c r="F48" s="40">
        <f t="shared" si="5"/>
        <v>15140200</v>
      </c>
    </row>
    <row r="49" spans="2:10" ht="30" x14ac:dyDescent="0.25">
      <c r="B49" s="16" t="s">
        <v>80</v>
      </c>
      <c r="C49" s="39">
        <v>61</v>
      </c>
      <c r="D49" s="39">
        <v>38</v>
      </c>
      <c r="E49" s="39">
        <f t="shared" si="4"/>
        <v>2318</v>
      </c>
      <c r="F49" s="40">
        <f t="shared" si="5"/>
        <v>846070</v>
      </c>
    </row>
    <row r="50" spans="2:10" x14ac:dyDescent="0.25">
      <c r="B50" s="16" t="s">
        <v>72</v>
      </c>
      <c r="C50" s="39">
        <v>61</v>
      </c>
      <c r="D50" s="39"/>
      <c r="E50" s="39">
        <f t="shared" si="4"/>
        <v>0</v>
      </c>
      <c r="F50" s="40">
        <f t="shared" si="5"/>
        <v>0</v>
      </c>
    </row>
    <row r="51" spans="2:10" x14ac:dyDescent="0.25">
      <c r="B51" s="16" t="s">
        <v>73</v>
      </c>
      <c r="C51" s="39">
        <v>60</v>
      </c>
      <c r="D51" s="39"/>
      <c r="E51" s="39">
        <f t="shared" si="4"/>
        <v>0</v>
      </c>
      <c r="F51" s="40">
        <f t="shared" si="5"/>
        <v>0</v>
      </c>
    </row>
    <row r="52" spans="2:10" x14ac:dyDescent="0.25">
      <c r="B52" s="16" t="s">
        <v>74</v>
      </c>
      <c r="C52" s="39">
        <v>136</v>
      </c>
      <c r="D52" s="39"/>
      <c r="E52" s="39">
        <f t="shared" si="4"/>
        <v>0</v>
      </c>
      <c r="F52" s="40">
        <f t="shared" si="5"/>
        <v>0</v>
      </c>
    </row>
    <row r="53" spans="2:10" x14ac:dyDescent="0.25">
      <c r="B53" s="14" t="s">
        <v>75</v>
      </c>
      <c r="C53" s="39">
        <v>164</v>
      </c>
      <c r="D53" s="39"/>
      <c r="E53" s="39">
        <f t="shared" si="4"/>
        <v>0</v>
      </c>
      <c r="F53" s="40">
        <f t="shared" si="5"/>
        <v>0</v>
      </c>
    </row>
    <row r="54" spans="2:10" x14ac:dyDescent="0.25">
      <c r="B54" s="42" t="s">
        <v>76</v>
      </c>
      <c r="C54" s="43">
        <v>30</v>
      </c>
      <c r="D54" s="43"/>
      <c r="E54" s="43">
        <f t="shared" si="4"/>
        <v>0</v>
      </c>
      <c r="F54" s="44">
        <f t="shared" si="5"/>
        <v>0</v>
      </c>
    </row>
    <row r="55" spans="2:10" ht="15.75" thickBot="1" x14ac:dyDescent="0.3">
      <c r="B55" s="8" t="s">
        <v>81</v>
      </c>
      <c r="C55" s="41"/>
      <c r="D55" s="41"/>
      <c r="E55" s="41">
        <f>SUM(E44:E54)</f>
        <v>322780</v>
      </c>
      <c r="F55" s="45">
        <f>SUM(F44:F54)</f>
        <v>117814700</v>
      </c>
    </row>
    <row r="56" spans="2:10" x14ac:dyDescent="0.25">
      <c r="B56" s="33" t="s">
        <v>84</v>
      </c>
    </row>
    <row r="57" spans="2:10" x14ac:dyDescent="0.25">
      <c r="B57" s="7" t="s">
        <v>78</v>
      </c>
      <c r="C57" s="7">
        <v>305</v>
      </c>
    </row>
    <row r="58" spans="2:10" ht="30" x14ac:dyDescent="0.25">
      <c r="B58" s="10" t="s">
        <v>79</v>
      </c>
      <c r="C58" s="7">
        <v>189</v>
      </c>
    </row>
    <row r="59" spans="2:10" ht="30" x14ac:dyDescent="0.25">
      <c r="B59" s="10" t="s">
        <v>83</v>
      </c>
      <c r="C59" s="7">
        <v>3752</v>
      </c>
    </row>
    <row r="60" spans="2:10" ht="15.75" thickBot="1" x14ac:dyDescent="0.3"/>
    <row r="61" spans="2:10" x14ac:dyDescent="0.25">
      <c r="B61" s="853" t="s">
        <v>387</v>
      </c>
      <c r="C61" s="855" t="s">
        <v>10</v>
      </c>
      <c r="D61" s="857" t="s">
        <v>1</v>
      </c>
      <c r="E61" s="858"/>
      <c r="F61" s="859"/>
      <c r="G61" s="857" t="s">
        <v>99</v>
      </c>
      <c r="H61" s="858"/>
      <c r="I61" s="859"/>
      <c r="J61" s="861" t="s">
        <v>112</v>
      </c>
    </row>
    <row r="62" spans="2:10" ht="15.75" thickBot="1" x14ac:dyDescent="0.3">
      <c r="B62" s="854"/>
      <c r="C62" s="856"/>
      <c r="D62" s="288" t="s">
        <v>86</v>
      </c>
      <c r="E62" s="289" t="s">
        <v>87</v>
      </c>
      <c r="F62" s="290" t="s">
        <v>112</v>
      </c>
      <c r="G62" s="288" t="s">
        <v>86</v>
      </c>
      <c r="H62" s="289" t="s">
        <v>87</v>
      </c>
      <c r="I62" s="290" t="s">
        <v>112</v>
      </c>
      <c r="J62" s="862"/>
    </row>
    <row r="63" spans="2:10" x14ac:dyDescent="0.25">
      <c r="B63" s="570" t="s">
        <v>389</v>
      </c>
      <c r="C63" s="569"/>
      <c r="D63" s="270">
        <f>C20</f>
        <v>394.48696996960723</v>
      </c>
      <c r="E63" s="271">
        <f>D20</f>
        <v>600</v>
      </c>
      <c r="F63" s="272">
        <f>E20</f>
        <v>400</v>
      </c>
      <c r="G63" s="270">
        <f>C20</f>
        <v>394.48696996960723</v>
      </c>
      <c r="H63" s="271">
        <f t="shared" ref="H63:I63" si="6">D20</f>
        <v>600</v>
      </c>
      <c r="I63" s="273">
        <f t="shared" si="6"/>
        <v>400</v>
      </c>
      <c r="J63" s="274">
        <f>E20</f>
        <v>400</v>
      </c>
    </row>
    <row r="64" spans="2:10" x14ac:dyDescent="0.25">
      <c r="B64" s="393" t="s">
        <v>40</v>
      </c>
      <c r="C64" s="685">
        <f>C23</f>
        <v>2612801603.3299999</v>
      </c>
      <c r="D64" s="697">
        <f>D63*$C$16*365</f>
        <v>215981616.05835998</v>
      </c>
      <c r="E64" s="697">
        <f t="shared" ref="E64:J64" si="7">E63*$C$16*365</f>
        <v>328500000</v>
      </c>
      <c r="F64" s="698">
        <f t="shared" si="7"/>
        <v>219000000</v>
      </c>
      <c r="G64" s="697">
        <f t="shared" si="7"/>
        <v>215981616.05835998</v>
      </c>
      <c r="H64" s="697">
        <f t="shared" si="7"/>
        <v>328500000</v>
      </c>
      <c r="I64" s="698">
        <f t="shared" si="7"/>
        <v>219000000</v>
      </c>
      <c r="J64" s="699">
        <f t="shared" si="7"/>
        <v>219000000</v>
      </c>
    </row>
    <row r="65" spans="2:10" x14ac:dyDescent="0.25">
      <c r="B65" s="393" t="s">
        <v>388</v>
      </c>
      <c r="C65" s="685">
        <f t="shared" ref="C65:C66" si="8">C24</f>
        <v>143987.74403890665</v>
      </c>
      <c r="D65" s="697">
        <f>D63*365</f>
        <v>143987.74403890665</v>
      </c>
      <c r="E65" s="697">
        <f t="shared" ref="E65:J65" si="9">E63*365</f>
        <v>219000</v>
      </c>
      <c r="F65" s="698">
        <f t="shared" si="9"/>
        <v>146000</v>
      </c>
      <c r="G65" s="697">
        <f t="shared" si="9"/>
        <v>143987.74403890665</v>
      </c>
      <c r="H65" s="697">
        <f t="shared" si="9"/>
        <v>219000</v>
      </c>
      <c r="I65" s="698">
        <f t="shared" si="9"/>
        <v>146000</v>
      </c>
      <c r="J65" s="699">
        <f t="shared" si="9"/>
        <v>146000</v>
      </c>
    </row>
    <row r="66" spans="2:10" ht="15.75" thickBot="1" x14ac:dyDescent="0.3">
      <c r="B66" s="686" t="s">
        <v>41</v>
      </c>
      <c r="C66" s="687">
        <f t="shared" si="8"/>
        <v>394.48696996960723</v>
      </c>
      <c r="D66" s="701">
        <f>D63</f>
        <v>394.48696996960723</v>
      </c>
      <c r="E66" s="701">
        <f t="shared" ref="E66:J66" si="10">E63</f>
        <v>600</v>
      </c>
      <c r="F66" s="702">
        <f t="shared" si="10"/>
        <v>400</v>
      </c>
      <c r="G66" s="701">
        <f t="shared" si="10"/>
        <v>394.48696996960723</v>
      </c>
      <c r="H66" s="701">
        <f t="shared" si="10"/>
        <v>600</v>
      </c>
      <c r="I66" s="702">
        <f t="shared" si="10"/>
        <v>400</v>
      </c>
      <c r="J66" s="703">
        <f t="shared" si="10"/>
        <v>400</v>
      </c>
    </row>
  </sheetData>
  <sheetProtection algorithmName="SHA-512" hashValue="7EpURuj5w974HRj6cGH8v30wOQ85fPvWEYKlWyLzplYyjibDQqnc3hPAtN3K2AEueDnMfYwAH7mP/ThrsGG9BQ==" saltValue="MGqul+/8N8qToePhvXLF/A==" spinCount="100000" sheet="1" objects="1" scenarios="1"/>
  <mergeCells count="15">
    <mergeCell ref="B61:B62"/>
    <mergeCell ref="C61:C62"/>
    <mergeCell ref="D61:F61"/>
    <mergeCell ref="G61:I61"/>
    <mergeCell ref="J61:J62"/>
    <mergeCell ref="B2:B3"/>
    <mergeCell ref="C2:C3"/>
    <mergeCell ref="D2:F2"/>
    <mergeCell ref="G2:I2"/>
    <mergeCell ref="J2:J3"/>
    <mergeCell ref="B9:B10"/>
    <mergeCell ref="C9:C10"/>
    <mergeCell ref="D9:F9"/>
    <mergeCell ref="G9:I9"/>
    <mergeCell ref="J9:J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0. Útmutató</vt:lpstr>
      <vt:lpstr>1. Paraméterek - Eredmények</vt:lpstr>
      <vt:lpstr>2. Előzetes vs. elítéltek</vt:lpstr>
      <vt:lpstr>A. Építés</vt:lpstr>
      <vt:lpstr>B. Intézetek karbantartása</vt:lpstr>
      <vt:lpstr>C. Üzemeltetés (rezsi)</vt:lpstr>
      <vt:lpstr>D. Személyzet</vt:lpstr>
      <vt:lpstr>E. Dologi költség</vt:lpstr>
      <vt:lpstr>F. Élelmezés</vt:lpstr>
      <vt:lpstr>G. Eü. kiadások</vt:lpstr>
      <vt:lpstr>H. Foglalkoztatás</vt:lpstr>
      <vt:lpstr>I. Perköltség</vt:lpstr>
      <vt:lpstr>Fogvatartottak_számának_növekedése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2015-03-03T14:25:46Z</dcterms:modified>
</cp:coreProperties>
</file>